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1SM Administration\2018\2018 Audit\2018 Completed Audited Accounts\"/>
    </mc:Choice>
  </mc:AlternateContent>
  <bookViews>
    <workbookView xWindow="0" yWindow="0" windowWidth="10035" windowHeight="10755" tabRatio="922" firstSheet="1" activeTab="7"/>
  </bookViews>
  <sheets>
    <sheet name="Data" sheetId="7" state="hidden" r:id="rId1"/>
    <sheet name="Header" sheetId="8" r:id="rId2"/>
    <sheet name="Index Page" sheetId="18" r:id="rId3"/>
    <sheet name="Statement of Responsibility" sheetId="19" r:id="rId4"/>
    <sheet name="Comprehensive Income" sheetId="1" r:id="rId5"/>
    <sheet name="Equity" sheetId="4" r:id="rId6"/>
    <sheet name="Financial Position" sheetId="3" r:id="rId7"/>
    <sheet name="Cashflow Statement" sheetId="20" r:id="rId8"/>
    <sheet name="Notes 1" sheetId="12" state="hidden" r:id="rId9"/>
    <sheet name="Notes" sheetId="5" state="hidden" r:id="rId10"/>
    <sheet name="Cashflow workpaper" sheetId="22" state="hidden" r:id="rId11"/>
    <sheet name="Codes allocation" sheetId="26" state="hidden" r:id="rId12"/>
    <sheet name="Payroll recon" sheetId="17" state="hidden" r:id="rId13"/>
    <sheet name="ESLData" sheetId="14" state="hidden" r:id="rId14"/>
  </sheets>
  <externalReferences>
    <externalReference r:id="rId15"/>
  </externalReferences>
  <definedNames>
    <definedName name="_xlnm._FilterDatabase" localSheetId="13" hidden="1">ESLData!$A$1:$J$1016</definedName>
    <definedName name="_xlnm._FilterDatabase" localSheetId="9" hidden="1">Notes!$F$171:$J$180</definedName>
    <definedName name="FY">[1]Inputs!$B$3</definedName>
    <definedName name="_xlnm.Print_Area" localSheetId="7">'Cashflow Statement'!$A$1:$F$56</definedName>
    <definedName name="_xlnm.Print_Area" localSheetId="10">'Cashflow workpaper'!$A$1:$F$121</definedName>
    <definedName name="_xlnm.Print_Area" localSheetId="4">'Comprehensive Income'!$A$1:$E$37</definedName>
    <definedName name="_xlnm.Print_Area" localSheetId="5">Equity!$A$1:$E$38</definedName>
    <definedName name="_xlnm.Print_Area" localSheetId="6">'Financial Position'!$A$1:$E$49</definedName>
    <definedName name="_xlnm.Print_Area" localSheetId="1">Header!$A$1:$H$41</definedName>
    <definedName name="_xlnm.Print_Area" localSheetId="2">'Index Page'!$B$2:$K$47</definedName>
    <definedName name="_xlnm.Print_Area" localSheetId="9">Notes!$A$1:$I$480</definedName>
    <definedName name="_xlnm.Print_Area" localSheetId="8">'Notes 1'!$A$2:$F$353</definedName>
    <definedName name="_xlnm.Print_Area" localSheetId="3">'Statement of Responsibility'!$B$2:$K$50</definedName>
    <definedName name="_xlnm.Print_Titles" localSheetId="8">'Notes 1'!$2:$4</definedName>
    <definedName name="Z_16158AC0_BDC0_11D7_BABA_AD30328A5118_.wvu.PrintArea" localSheetId="4" hidden="1">'Comprehensive Income'!$A$1:$F$37</definedName>
    <definedName name="Z_16158AC0_BDC0_11D7_BABA_AD30328A5118_.wvu.PrintArea" localSheetId="5" hidden="1">Equity!$A$1:$F$49</definedName>
    <definedName name="Z_16158AC0_BDC0_11D7_BABA_AD30328A5118_.wvu.PrintArea" localSheetId="6" hidden="1">'Financial Position'!$A$2:$E$58</definedName>
    <definedName name="Z_16158AC0_BDC0_11D7_BABA_AD30328A5118_.wvu.PrintArea" localSheetId="9" hidden="1">Notes!$1:$1048576</definedName>
    <definedName name="Z_2F1C2500_C7E9_11D7_BAB9_00065B3658C6_.wvu.PrintArea" localSheetId="4" hidden="1">'Comprehensive Income'!$A$1:$F$37</definedName>
    <definedName name="Z_2F1C2500_C7E9_11D7_BAB9_00065B3658C6_.wvu.PrintArea" localSheetId="5" hidden="1">Equity!$A$1:$F$49</definedName>
    <definedName name="Z_2F1C2500_C7E9_11D7_BAB9_00065B3658C6_.wvu.PrintArea" localSheetId="6" hidden="1">'Financial Position'!$A$2:$E$58</definedName>
    <definedName name="Z_2F1C2500_C7E9_11D7_BAB9_00065B3658C6_.wvu.PrintArea" localSheetId="9" hidden="1">Notes!$1:$1048576</definedName>
    <definedName name="Z_2F1C2502_C7E9_11D7_BAB9_00065B3658C6_.wvu.PrintArea" localSheetId="7" hidden="1">'Cashflow Statement'!$B$1:$F$58</definedName>
    <definedName name="Z_D97F6880_C1EB_11D7_BABA_97F470F7481E_.wvu.PrintArea" localSheetId="7" hidden="1">'Cashflow Statement'!$B$1:$F$58</definedName>
  </definedNames>
  <calcPr calcId="162913"/>
  <customWorkbookViews>
    <customWorkbookView name="Steve Kelsen MoE - Personal View" guid="{2F1C2500-C7E9-11D7-BAB9-00065B3658C6}" mergeInterval="0" personalView="1" maximized="1" windowWidth="1020" windowHeight="606" tabRatio="729" activeSheetId="2"/>
    <customWorkbookView name="Bridget Hesketh - Personal View" guid="{16158AC0-BDC0-11D7-BABA-AD30328A5118}" mergeInterval="0" personalView="1" maximized="1" windowWidth="1020" windowHeight="606" tabRatio="729" activeSheetId="5"/>
  </customWorkbookViews>
</workbook>
</file>

<file path=xl/calcChain.xml><?xml version="1.0" encoding="utf-8"?>
<calcChain xmlns="http://schemas.openxmlformats.org/spreadsheetml/2006/main">
  <c r="E8" i="14" l="1"/>
  <c r="G32" i="5"/>
  <c r="E424" i="26" l="1"/>
  <c r="E422" i="26"/>
  <c r="E369" i="26"/>
  <c r="E22" i="20" l="1"/>
  <c r="E21" i="20"/>
  <c r="H43" i="20"/>
  <c r="I43" i="20"/>
  <c r="J43" i="20"/>
  <c r="D33" i="20"/>
  <c r="D22" i="20"/>
  <c r="D21" i="20"/>
  <c r="D11" i="20"/>
  <c r="J44" i="20" l="1"/>
  <c r="E43" i="20"/>
  <c r="I44" i="20" s="1"/>
  <c r="D43" i="20"/>
  <c r="H44" i="20" s="1"/>
  <c r="E40" i="20"/>
  <c r="D40" i="20"/>
  <c r="F34" i="20"/>
  <c r="E34" i="20"/>
  <c r="D34" i="20"/>
  <c r="F26" i="20"/>
  <c r="E26" i="20"/>
  <c r="D26" i="20"/>
  <c r="E121" i="22"/>
  <c r="D115" i="22"/>
  <c r="C115" i="22"/>
  <c r="E111" i="22"/>
  <c r="D111" i="22"/>
  <c r="C111" i="22"/>
  <c r="E104" i="22"/>
  <c r="E103" i="22"/>
  <c r="D104" i="22"/>
  <c r="C104" i="22"/>
  <c r="E92" i="22"/>
  <c r="D92" i="22"/>
  <c r="C92" i="22"/>
  <c r="E85" i="22"/>
  <c r="F12" i="20" s="1"/>
  <c r="D84" i="22"/>
  <c r="C83" i="22"/>
  <c r="E73" i="22"/>
  <c r="D73" i="22"/>
  <c r="C73" i="22"/>
  <c r="E69" i="22"/>
  <c r="D67" i="22"/>
  <c r="D66" i="22"/>
  <c r="C66" i="22"/>
  <c r="C69" i="22" s="1"/>
  <c r="E61" i="22"/>
  <c r="E64" i="22" s="1"/>
  <c r="E75" i="22" s="1"/>
  <c r="E94" i="22" s="1"/>
  <c r="D61" i="22"/>
  <c r="D64" i="22" s="1"/>
  <c r="C61" i="22"/>
  <c r="C64" i="22" s="1"/>
  <c r="D81" i="22"/>
  <c r="D85" i="22" s="1"/>
  <c r="E12" i="20" s="1"/>
  <c r="C81" i="22"/>
  <c r="C85" i="22" s="1"/>
  <c r="D12" i="20" s="1"/>
  <c r="E45" i="22"/>
  <c r="D45" i="22"/>
  <c r="C45" i="22"/>
  <c r="E39" i="22"/>
  <c r="D39" i="22"/>
  <c r="C39" i="22"/>
  <c r="E33" i="22"/>
  <c r="D31" i="22"/>
  <c r="C31" i="22"/>
  <c r="C33" i="22" s="1"/>
  <c r="D15" i="20" s="1"/>
  <c r="D26" i="22"/>
  <c r="C25" i="22"/>
  <c r="D23" i="22"/>
  <c r="D27" i="22" s="1"/>
  <c r="E10" i="20" s="1"/>
  <c r="C22" i="22"/>
  <c r="C27" i="22" s="1"/>
  <c r="D10" i="20" s="1"/>
  <c r="E27" i="22"/>
  <c r="F10" i="20" s="1"/>
  <c r="E18" i="22"/>
  <c r="C16" i="22"/>
  <c r="D18" i="22"/>
  <c r="E9" i="20" s="1"/>
  <c r="C18" i="22"/>
  <c r="D9" i="20" s="1"/>
  <c r="D69" i="22" l="1"/>
  <c r="E47" i="22"/>
  <c r="E96" i="22" s="1"/>
  <c r="E113" i="22" s="1"/>
  <c r="F9" i="20"/>
  <c r="F17" i="20" s="1"/>
  <c r="F36" i="20" s="1"/>
  <c r="D75" i="22"/>
  <c r="C47" i="22"/>
  <c r="C75" i="22"/>
  <c r="D32" i="22"/>
  <c r="D33" i="22" s="1"/>
  <c r="E994" i="26"/>
  <c r="C94" i="22" l="1"/>
  <c r="C96" i="22" s="1"/>
  <c r="C113" i="22" s="1"/>
  <c r="C117" i="22" s="1"/>
  <c r="C121" i="22" s="1"/>
  <c r="D13" i="20"/>
  <c r="D47" i="22"/>
  <c r="E15" i="20"/>
  <c r="D94" i="22"/>
  <c r="E13" i="20"/>
  <c r="E17" i="20" s="1"/>
  <c r="E36" i="20" s="1"/>
  <c r="E976" i="26"/>
  <c r="E977" i="26"/>
  <c r="E978" i="26"/>
  <c r="E979" i="26"/>
  <c r="E980" i="26"/>
  <c r="E981" i="26"/>
  <c r="E982" i="26"/>
  <c r="E983" i="26"/>
  <c r="E984" i="26"/>
  <c r="E985" i="26"/>
  <c r="E986" i="26"/>
  <c r="E987" i="26"/>
  <c r="E988" i="26"/>
  <c r="E989" i="26"/>
  <c r="E990" i="26"/>
  <c r="E991" i="26"/>
  <c r="E992" i="26"/>
  <c r="E975" i="26"/>
  <c r="F975" i="26" s="1"/>
  <c r="G285" i="5" s="1"/>
  <c r="E973" i="26"/>
  <c r="F973" i="26" s="1"/>
  <c r="G264" i="5" s="1"/>
  <c r="E972" i="26"/>
  <c r="F972" i="26" s="1"/>
  <c r="E971" i="26"/>
  <c r="F971" i="26" s="1"/>
  <c r="G262" i="5" s="1"/>
  <c r="E969" i="26"/>
  <c r="F969" i="26" s="1"/>
  <c r="G261" i="5" s="1"/>
  <c r="E970" i="26"/>
  <c r="F970" i="26" s="1"/>
  <c r="G265" i="5" s="1"/>
  <c r="K945" i="26"/>
  <c r="G945" i="26"/>
  <c r="E945" i="26"/>
  <c r="C945" i="26"/>
  <c r="K943" i="26"/>
  <c r="G943" i="26"/>
  <c r="E943" i="26"/>
  <c r="C943" i="26"/>
  <c r="K942" i="26"/>
  <c r="K941" i="26"/>
  <c r="G941" i="26"/>
  <c r="E941" i="26"/>
  <c r="C941" i="26"/>
  <c r="K939" i="26"/>
  <c r="F992" i="26" l="1"/>
  <c r="G286" i="5" s="1"/>
  <c r="D96" i="22"/>
  <c r="D113" i="22" s="1"/>
  <c r="D117" i="22" s="1"/>
  <c r="D121" i="22" s="1"/>
  <c r="E1058" i="26"/>
  <c r="C1060" i="26"/>
  <c r="D1060" i="26" s="1"/>
  <c r="K1064" i="26"/>
  <c r="G1064" i="26"/>
  <c r="E1064" i="26"/>
  <c r="C1064" i="26"/>
  <c r="K1063" i="26"/>
  <c r="G1063" i="26"/>
  <c r="E1063" i="26"/>
  <c r="C1063" i="26"/>
  <c r="K1062" i="26"/>
  <c r="G1062" i="26"/>
  <c r="E1062" i="26"/>
  <c r="C1062" i="26"/>
  <c r="K1060" i="26"/>
  <c r="G1060" i="26"/>
  <c r="H1060" i="26" s="1"/>
  <c r="E1060" i="26"/>
  <c r="F1060" i="26" s="1"/>
  <c r="K1058" i="26"/>
  <c r="G1058" i="26"/>
  <c r="C1058" i="26"/>
  <c r="K1057" i="26"/>
  <c r="G1057" i="26"/>
  <c r="E1057" i="26"/>
  <c r="C1057" i="26"/>
  <c r="K1056" i="26"/>
  <c r="G1056" i="26"/>
  <c r="E1056" i="26"/>
  <c r="C1056" i="26"/>
  <c r="D1064" i="26" l="1"/>
  <c r="F315" i="5" s="1"/>
  <c r="F1064" i="26"/>
  <c r="G315" i="5" s="1"/>
  <c r="D35" i="3" s="1"/>
  <c r="D37" i="3" s="1"/>
  <c r="D1058" i="26"/>
  <c r="F314" i="5" s="1"/>
  <c r="H1058" i="26"/>
  <c r="H1064" i="26"/>
  <c r="H315" i="5" s="1"/>
  <c r="F1058" i="26"/>
  <c r="G314" i="5" s="1"/>
  <c r="G990" i="26"/>
  <c r="C990" i="26"/>
  <c r="E35" i="3" l="1"/>
  <c r="G801" i="26" l="1"/>
  <c r="E801" i="26"/>
  <c r="G591" i="26" l="1"/>
  <c r="E591" i="26"/>
  <c r="C591" i="26"/>
  <c r="C632" i="26"/>
  <c r="E632" i="26"/>
  <c r="G632" i="26"/>
  <c r="K632" i="26"/>
  <c r="K855" i="26"/>
  <c r="G855" i="26"/>
  <c r="E855" i="26"/>
  <c r="C855" i="26"/>
  <c r="K738" i="26"/>
  <c r="G738" i="26"/>
  <c r="E738" i="26"/>
  <c r="C738" i="26"/>
  <c r="K698" i="26"/>
  <c r="G698" i="26"/>
  <c r="E698" i="26"/>
  <c r="C698" i="26"/>
  <c r="G369" i="26"/>
  <c r="G370" i="26"/>
  <c r="G366" i="26"/>
  <c r="E370" i="26"/>
  <c r="E366" i="26"/>
  <c r="C369" i="26"/>
  <c r="C370" i="26"/>
  <c r="C366" i="26"/>
  <c r="K370" i="26"/>
  <c r="C31" i="3" l="1"/>
  <c r="E16" i="3"/>
  <c r="D16" i="3"/>
  <c r="E23" i="3"/>
  <c r="D23" i="3"/>
  <c r="G888" i="26" l="1"/>
  <c r="H888" i="26" s="1"/>
  <c r="E888" i="26"/>
  <c r="F888" i="26" s="1"/>
  <c r="C4" i="26" l="1"/>
  <c r="E4" i="26"/>
  <c r="G4" i="26"/>
  <c r="K4" i="26"/>
  <c r="C5" i="26"/>
  <c r="E5" i="26"/>
  <c r="G5" i="26"/>
  <c r="K5" i="26"/>
  <c r="C6" i="26"/>
  <c r="E6" i="26"/>
  <c r="G6" i="26"/>
  <c r="K6" i="26"/>
  <c r="K7" i="26"/>
  <c r="C8" i="26"/>
  <c r="D8" i="26" s="1"/>
  <c r="E8" i="26"/>
  <c r="F8" i="26" s="1"/>
  <c r="G8" i="26"/>
  <c r="H8" i="26" s="1"/>
  <c r="K8" i="26"/>
  <c r="K9" i="26"/>
  <c r="C10" i="26"/>
  <c r="E10" i="26"/>
  <c r="G10" i="26"/>
  <c r="K10" i="26"/>
  <c r="C11" i="26"/>
  <c r="E11" i="26"/>
  <c r="G11" i="26"/>
  <c r="K11" i="26"/>
  <c r="K12" i="26"/>
  <c r="C13" i="26"/>
  <c r="D13" i="26" s="1"/>
  <c r="E13" i="26"/>
  <c r="F13" i="26" s="1"/>
  <c r="G13" i="26"/>
  <c r="H13" i="26" s="1"/>
  <c r="K13" i="26"/>
  <c r="K14" i="26"/>
  <c r="C15" i="26"/>
  <c r="D15" i="26" s="1"/>
  <c r="E15" i="26"/>
  <c r="F15" i="26" s="1"/>
  <c r="G15" i="26"/>
  <c r="H15" i="26" s="1"/>
  <c r="K15" i="26"/>
  <c r="K16" i="26"/>
  <c r="C17" i="26"/>
  <c r="E17" i="26"/>
  <c r="G17" i="26"/>
  <c r="K17" i="26"/>
  <c r="C18" i="26"/>
  <c r="E18" i="26"/>
  <c r="G18" i="26"/>
  <c r="K18" i="26"/>
  <c r="C19" i="26"/>
  <c r="E19" i="26"/>
  <c r="G19" i="26"/>
  <c r="K19" i="26"/>
  <c r="C20" i="26"/>
  <c r="E20" i="26"/>
  <c r="G20" i="26"/>
  <c r="K20" i="26"/>
  <c r="C21" i="26"/>
  <c r="E21" i="26"/>
  <c r="G21" i="26"/>
  <c r="K21" i="26"/>
  <c r="K22" i="26"/>
  <c r="C23" i="26"/>
  <c r="D23" i="26" s="1"/>
  <c r="E23" i="26"/>
  <c r="F23" i="26" s="1"/>
  <c r="G23" i="26"/>
  <c r="H23" i="26" s="1"/>
  <c r="K23" i="26"/>
  <c r="K24" i="26"/>
  <c r="C25" i="26"/>
  <c r="D25" i="26" s="1"/>
  <c r="E25" i="26"/>
  <c r="F25" i="26" s="1"/>
  <c r="G25" i="26"/>
  <c r="H25" i="26" s="1"/>
  <c r="K25" i="26"/>
  <c r="K26" i="26"/>
  <c r="C27" i="26"/>
  <c r="E27" i="26"/>
  <c r="G27" i="26"/>
  <c r="K27" i="26"/>
  <c r="C28" i="26"/>
  <c r="E28" i="26"/>
  <c r="G28" i="26"/>
  <c r="K28" i="26"/>
  <c r="C29" i="26"/>
  <c r="E29" i="26"/>
  <c r="G29" i="26"/>
  <c r="K29" i="26"/>
  <c r="K30" i="26"/>
  <c r="C31" i="26"/>
  <c r="D31" i="26" s="1"/>
  <c r="E31" i="26"/>
  <c r="G31" i="26"/>
  <c r="K31" i="26"/>
  <c r="K32" i="26"/>
  <c r="C33" i="26"/>
  <c r="E33" i="26"/>
  <c r="G33" i="26"/>
  <c r="K33" i="26"/>
  <c r="C34" i="26"/>
  <c r="E34" i="26"/>
  <c r="G34" i="26"/>
  <c r="K34" i="26"/>
  <c r="C35" i="26"/>
  <c r="E35" i="26"/>
  <c r="G35" i="26"/>
  <c r="K35" i="26"/>
  <c r="C36" i="26"/>
  <c r="E36" i="26"/>
  <c r="G36" i="26"/>
  <c r="K36" i="26"/>
  <c r="C37" i="26"/>
  <c r="E37" i="26"/>
  <c r="G37" i="26"/>
  <c r="K37" i="26"/>
  <c r="C38" i="26"/>
  <c r="E38" i="26"/>
  <c r="G38" i="26"/>
  <c r="K38" i="26"/>
  <c r="C39" i="26"/>
  <c r="E39" i="26"/>
  <c r="G39" i="26"/>
  <c r="K39" i="26"/>
  <c r="C40" i="26"/>
  <c r="E40" i="26"/>
  <c r="G40" i="26"/>
  <c r="K40" i="26"/>
  <c r="K41" i="26"/>
  <c r="K42" i="26"/>
  <c r="K43" i="26"/>
  <c r="C44" i="26"/>
  <c r="E44" i="26"/>
  <c r="G44" i="26"/>
  <c r="K44" i="26"/>
  <c r="C45" i="26"/>
  <c r="E45" i="26"/>
  <c r="G45" i="26"/>
  <c r="K45" i="26"/>
  <c r="C46" i="26"/>
  <c r="E46" i="26"/>
  <c r="G46" i="26"/>
  <c r="K46" i="26"/>
  <c r="K47" i="26"/>
  <c r="C48" i="26"/>
  <c r="E48" i="26"/>
  <c r="G48" i="26"/>
  <c r="K48" i="26"/>
  <c r="C49" i="26"/>
  <c r="E49" i="26"/>
  <c r="G49" i="26"/>
  <c r="K49" i="26"/>
  <c r="C50" i="26"/>
  <c r="E50" i="26"/>
  <c r="G50" i="26"/>
  <c r="K50" i="26"/>
  <c r="C51" i="26"/>
  <c r="E51" i="26"/>
  <c r="G51" i="26"/>
  <c r="K51" i="26"/>
  <c r="C52" i="26"/>
  <c r="E52" i="26"/>
  <c r="G52" i="26"/>
  <c r="K52" i="26"/>
  <c r="K53" i="26"/>
  <c r="C54" i="26"/>
  <c r="E54" i="26"/>
  <c r="G54" i="26"/>
  <c r="K54" i="26"/>
  <c r="C55" i="26"/>
  <c r="D56" i="26" s="1"/>
  <c r="E55" i="26"/>
  <c r="G55" i="26"/>
  <c r="H56" i="26" s="1"/>
  <c r="K55" i="26"/>
  <c r="C801" i="26"/>
  <c r="K801" i="26"/>
  <c r="K57" i="26"/>
  <c r="C58" i="26"/>
  <c r="E58" i="26"/>
  <c r="G58" i="26"/>
  <c r="K58" i="26"/>
  <c r="C59" i="26"/>
  <c r="E59" i="26"/>
  <c r="G59" i="26"/>
  <c r="K59" i="26"/>
  <c r="C60" i="26"/>
  <c r="E60" i="26"/>
  <c r="G60" i="26"/>
  <c r="K60" i="26"/>
  <c r="C61" i="26"/>
  <c r="E61" i="26"/>
  <c r="G61" i="26"/>
  <c r="K61" i="26"/>
  <c r="C62" i="26"/>
  <c r="E62" i="26"/>
  <c r="G62" i="26"/>
  <c r="K62" i="26"/>
  <c r="C63" i="26"/>
  <c r="E63" i="26"/>
  <c r="G63" i="26"/>
  <c r="K63" i="26"/>
  <c r="C64" i="26"/>
  <c r="E64" i="26"/>
  <c r="G64" i="26"/>
  <c r="K64" i="26"/>
  <c r="C65" i="26"/>
  <c r="E65" i="26"/>
  <c r="G65" i="26"/>
  <c r="K65" i="26"/>
  <c r="C66" i="26"/>
  <c r="E66" i="26"/>
  <c r="G66" i="26"/>
  <c r="K66" i="26"/>
  <c r="C67" i="26"/>
  <c r="E67" i="26"/>
  <c r="G67" i="26"/>
  <c r="K67" i="26"/>
  <c r="C68" i="26"/>
  <c r="E68" i="26"/>
  <c r="G68" i="26"/>
  <c r="K68" i="26"/>
  <c r="K69" i="26"/>
  <c r="C70" i="26"/>
  <c r="D70" i="26" s="1"/>
  <c r="E70" i="26"/>
  <c r="F70" i="26" s="1"/>
  <c r="G70" i="26"/>
  <c r="H70" i="26" s="1"/>
  <c r="K70" i="26"/>
  <c r="K71" i="26"/>
  <c r="C72" i="26"/>
  <c r="E72" i="26"/>
  <c r="G72" i="26"/>
  <c r="K72" i="26"/>
  <c r="C73" i="26"/>
  <c r="E73" i="26"/>
  <c r="G73" i="26"/>
  <c r="K73" i="26"/>
  <c r="C74" i="26"/>
  <c r="E74" i="26"/>
  <c r="G74" i="26"/>
  <c r="K74" i="26"/>
  <c r="C75" i="26"/>
  <c r="E75" i="26"/>
  <c r="G75" i="26"/>
  <c r="K75" i="26"/>
  <c r="C76" i="26"/>
  <c r="E76" i="26"/>
  <c r="G76" i="26"/>
  <c r="K76" i="26"/>
  <c r="C77" i="26"/>
  <c r="E77" i="26"/>
  <c r="G77" i="26"/>
  <c r="K77" i="26"/>
  <c r="C78" i="26"/>
  <c r="E78" i="26"/>
  <c r="G78" i="26"/>
  <c r="K78" i="26"/>
  <c r="C79" i="26"/>
  <c r="E79" i="26"/>
  <c r="G79" i="26"/>
  <c r="K79" i="26"/>
  <c r="C80" i="26"/>
  <c r="E80" i="26"/>
  <c r="G80" i="26"/>
  <c r="K80" i="26"/>
  <c r="C81" i="26"/>
  <c r="E81" i="26"/>
  <c r="G81" i="26"/>
  <c r="K81" i="26"/>
  <c r="C82" i="26"/>
  <c r="E82" i="26"/>
  <c r="G82" i="26"/>
  <c r="K82" i="26"/>
  <c r="C83" i="26"/>
  <c r="E83" i="26"/>
  <c r="G83" i="26"/>
  <c r="K83" i="26"/>
  <c r="C84" i="26"/>
  <c r="E84" i="26"/>
  <c r="G84" i="26"/>
  <c r="K84" i="26"/>
  <c r="C85" i="26"/>
  <c r="E85" i="26"/>
  <c r="G85" i="26"/>
  <c r="K85" i="26"/>
  <c r="C86" i="26"/>
  <c r="E86" i="26"/>
  <c r="G86" i="26"/>
  <c r="K86" i="26"/>
  <c r="C87" i="26"/>
  <c r="E87" i="26"/>
  <c r="G87" i="26"/>
  <c r="K87" i="26"/>
  <c r="C88" i="26"/>
  <c r="E88" i="26"/>
  <c r="G88" i="26"/>
  <c r="K88" i="26"/>
  <c r="C89" i="26"/>
  <c r="E89" i="26"/>
  <c r="G89" i="26"/>
  <c r="K89" i="26"/>
  <c r="C90" i="26"/>
  <c r="E90" i="26"/>
  <c r="G90" i="26"/>
  <c r="K90" i="26"/>
  <c r="C91" i="26"/>
  <c r="E91" i="26"/>
  <c r="G91" i="26"/>
  <c r="K91" i="26"/>
  <c r="C92" i="26"/>
  <c r="E92" i="26"/>
  <c r="G92" i="26"/>
  <c r="K92" i="26"/>
  <c r="C93" i="26"/>
  <c r="E93" i="26"/>
  <c r="G93" i="26"/>
  <c r="K93" i="26"/>
  <c r="C94" i="26"/>
  <c r="E94" i="26"/>
  <c r="G94" i="26"/>
  <c r="K94" i="26"/>
  <c r="K95" i="26"/>
  <c r="C96" i="26"/>
  <c r="E96" i="26"/>
  <c r="G96" i="26"/>
  <c r="K96" i="26"/>
  <c r="C97" i="26"/>
  <c r="E97" i="26"/>
  <c r="G97" i="26"/>
  <c r="K97" i="26"/>
  <c r="C98" i="26"/>
  <c r="E98" i="26"/>
  <c r="G98" i="26"/>
  <c r="K98" i="26"/>
  <c r="C99" i="26"/>
  <c r="E99" i="26"/>
  <c r="G99" i="26"/>
  <c r="K99" i="26"/>
  <c r="C100" i="26"/>
  <c r="E100" i="26"/>
  <c r="G100" i="26"/>
  <c r="K100" i="26"/>
  <c r="C101" i="26"/>
  <c r="E101" i="26"/>
  <c r="G101" i="26"/>
  <c r="K101" i="26"/>
  <c r="C102" i="26"/>
  <c r="E102" i="26"/>
  <c r="G102" i="26"/>
  <c r="K102" i="26"/>
  <c r="C103" i="26"/>
  <c r="E103" i="26"/>
  <c r="G103" i="26"/>
  <c r="K103" i="26"/>
  <c r="C104" i="26"/>
  <c r="E104" i="26"/>
  <c r="G104" i="26"/>
  <c r="K104" i="26"/>
  <c r="C105" i="26"/>
  <c r="E105" i="26"/>
  <c r="G105" i="26"/>
  <c r="K105" i="26"/>
  <c r="C106" i="26"/>
  <c r="E106" i="26"/>
  <c r="G106" i="26"/>
  <c r="K106" i="26"/>
  <c r="C107" i="26"/>
  <c r="E107" i="26"/>
  <c r="G107" i="26"/>
  <c r="K107" i="26"/>
  <c r="C108" i="26"/>
  <c r="E108" i="26"/>
  <c r="G108" i="26"/>
  <c r="K108" i="26"/>
  <c r="C109" i="26"/>
  <c r="E109" i="26"/>
  <c r="G109" i="26"/>
  <c r="K109" i="26"/>
  <c r="C110" i="26"/>
  <c r="E110" i="26"/>
  <c r="G110" i="26"/>
  <c r="K110" i="26"/>
  <c r="C111" i="26"/>
  <c r="E111" i="26"/>
  <c r="G111" i="26"/>
  <c r="K111" i="26"/>
  <c r="C112" i="26"/>
  <c r="E112" i="26"/>
  <c r="G112" i="26"/>
  <c r="K112" i="26"/>
  <c r="C113" i="26"/>
  <c r="E113" i="26"/>
  <c r="G113" i="26"/>
  <c r="K113" i="26"/>
  <c r="C114" i="26"/>
  <c r="E114" i="26"/>
  <c r="G114" i="26"/>
  <c r="K114" i="26"/>
  <c r="C115" i="26"/>
  <c r="E115" i="26"/>
  <c r="G115" i="26"/>
  <c r="K115" i="26"/>
  <c r="C116" i="26"/>
  <c r="E116" i="26"/>
  <c r="G116" i="26"/>
  <c r="K116" i="26"/>
  <c r="C117" i="26"/>
  <c r="E117" i="26"/>
  <c r="G117" i="26"/>
  <c r="K117" i="26"/>
  <c r="C118" i="26"/>
  <c r="E118" i="26"/>
  <c r="G118" i="26"/>
  <c r="K118" i="26"/>
  <c r="K119" i="26"/>
  <c r="C120" i="26"/>
  <c r="D120" i="26" s="1"/>
  <c r="C12" i="1" s="1"/>
  <c r="E120" i="26"/>
  <c r="F120" i="26" s="1"/>
  <c r="D12" i="1" s="1"/>
  <c r="G120" i="26"/>
  <c r="H120" i="26" s="1"/>
  <c r="E12" i="1" s="1"/>
  <c r="K120" i="26"/>
  <c r="K121" i="26"/>
  <c r="K122" i="26"/>
  <c r="K123" i="26"/>
  <c r="C124" i="26"/>
  <c r="E124" i="26"/>
  <c r="G124" i="26"/>
  <c r="K124" i="26"/>
  <c r="C125" i="26"/>
  <c r="E125" i="26"/>
  <c r="G125" i="26"/>
  <c r="K125" i="26"/>
  <c r="C126" i="26"/>
  <c r="E126" i="26"/>
  <c r="G126" i="26"/>
  <c r="K126" i="26"/>
  <c r="C127" i="26"/>
  <c r="E127" i="26"/>
  <c r="G127" i="26"/>
  <c r="K127" i="26"/>
  <c r="C128" i="26"/>
  <c r="E128" i="26"/>
  <c r="G128" i="26"/>
  <c r="K128" i="26"/>
  <c r="C129" i="26"/>
  <c r="E129" i="26"/>
  <c r="G129" i="26"/>
  <c r="K129" i="26"/>
  <c r="C130" i="26"/>
  <c r="E130" i="26"/>
  <c r="G130" i="26"/>
  <c r="K130" i="26"/>
  <c r="C131" i="26"/>
  <c r="E131" i="26"/>
  <c r="G131" i="26"/>
  <c r="K131" i="26"/>
  <c r="C132" i="26"/>
  <c r="E132" i="26"/>
  <c r="G132" i="26"/>
  <c r="K132" i="26"/>
  <c r="C133" i="26"/>
  <c r="E133" i="26"/>
  <c r="G133" i="26"/>
  <c r="K133" i="26"/>
  <c r="C134" i="26"/>
  <c r="E134" i="26"/>
  <c r="G134" i="26"/>
  <c r="K134" i="26"/>
  <c r="C135" i="26"/>
  <c r="E135" i="26"/>
  <c r="G135" i="26"/>
  <c r="K135" i="26"/>
  <c r="C136" i="26"/>
  <c r="E136" i="26"/>
  <c r="G136" i="26"/>
  <c r="K136" i="26"/>
  <c r="C137" i="26"/>
  <c r="E137" i="26"/>
  <c r="G137" i="26"/>
  <c r="K137" i="26"/>
  <c r="C138" i="26"/>
  <c r="E138" i="26"/>
  <c r="G138" i="26"/>
  <c r="K138" i="26"/>
  <c r="C139" i="26"/>
  <c r="E139" i="26"/>
  <c r="G139" i="26"/>
  <c r="K139" i="26"/>
  <c r="C140" i="26"/>
  <c r="E140" i="26"/>
  <c r="G140" i="26"/>
  <c r="K140" i="26"/>
  <c r="C141" i="26"/>
  <c r="E141" i="26"/>
  <c r="G141" i="26"/>
  <c r="K141" i="26"/>
  <c r="C142" i="26"/>
  <c r="E142" i="26"/>
  <c r="G142" i="26"/>
  <c r="K142" i="26"/>
  <c r="C143" i="26"/>
  <c r="E143" i="26"/>
  <c r="G143" i="26"/>
  <c r="K143" i="26"/>
  <c r="C144" i="26"/>
  <c r="E144" i="26"/>
  <c r="G144" i="26"/>
  <c r="K144" i="26"/>
  <c r="C145" i="26"/>
  <c r="E145" i="26"/>
  <c r="G145" i="26"/>
  <c r="K145" i="26"/>
  <c r="C146" i="26"/>
  <c r="E146" i="26"/>
  <c r="G146" i="26"/>
  <c r="K146" i="26"/>
  <c r="C147" i="26"/>
  <c r="E147" i="26"/>
  <c r="G147" i="26"/>
  <c r="K147" i="26"/>
  <c r="C148" i="26"/>
  <c r="E148" i="26"/>
  <c r="G148" i="26"/>
  <c r="K148" i="26"/>
  <c r="C149" i="26"/>
  <c r="E149" i="26"/>
  <c r="G149" i="26"/>
  <c r="K149" i="26"/>
  <c r="C150" i="26"/>
  <c r="E150" i="26"/>
  <c r="G150" i="26"/>
  <c r="K150" i="26"/>
  <c r="C151" i="26"/>
  <c r="E151" i="26"/>
  <c r="G151" i="26"/>
  <c r="K151" i="26"/>
  <c r="C152" i="26"/>
  <c r="E152" i="26"/>
  <c r="G152" i="26"/>
  <c r="K152" i="26"/>
  <c r="C153" i="26"/>
  <c r="E153" i="26"/>
  <c r="G153" i="26"/>
  <c r="K153" i="26"/>
  <c r="K154" i="26"/>
  <c r="K155" i="26"/>
  <c r="C156" i="26"/>
  <c r="D156" i="26" s="1"/>
  <c r="E156" i="26"/>
  <c r="F156" i="26" s="1"/>
  <c r="G156" i="26"/>
  <c r="H156" i="26" s="1"/>
  <c r="K156" i="26"/>
  <c r="K157" i="26"/>
  <c r="C158" i="26"/>
  <c r="E158" i="26"/>
  <c r="G158" i="26"/>
  <c r="K158" i="26"/>
  <c r="C159" i="26"/>
  <c r="E159" i="26"/>
  <c r="G159" i="26"/>
  <c r="K159" i="26"/>
  <c r="C160" i="26"/>
  <c r="E160" i="26"/>
  <c r="G160" i="26"/>
  <c r="K160" i="26"/>
  <c r="C161" i="26"/>
  <c r="E161" i="26"/>
  <c r="G161" i="26"/>
  <c r="K161" i="26"/>
  <c r="C163" i="26"/>
  <c r="E163" i="26"/>
  <c r="G163" i="26"/>
  <c r="K163" i="26"/>
  <c r="C164" i="26"/>
  <c r="E164" i="26"/>
  <c r="G164" i="26"/>
  <c r="K164" i="26"/>
  <c r="C165" i="26"/>
  <c r="E165" i="26"/>
  <c r="G165" i="26"/>
  <c r="K165" i="26"/>
  <c r="K166" i="26"/>
  <c r="C167" i="26"/>
  <c r="E167" i="26"/>
  <c r="G167" i="26"/>
  <c r="K167" i="26"/>
  <c r="C168" i="26"/>
  <c r="E168" i="26"/>
  <c r="G168" i="26"/>
  <c r="K168" i="26"/>
  <c r="C169" i="26"/>
  <c r="E169" i="26"/>
  <c r="G169" i="26"/>
  <c r="K169" i="26"/>
  <c r="K170" i="26"/>
  <c r="K171" i="26"/>
  <c r="K172" i="26"/>
  <c r="C173" i="26"/>
  <c r="E173" i="26"/>
  <c r="G173" i="26"/>
  <c r="K173" i="26"/>
  <c r="C174" i="26"/>
  <c r="E174" i="26"/>
  <c r="G174" i="26"/>
  <c r="K174" i="26"/>
  <c r="C175" i="26"/>
  <c r="E175" i="26"/>
  <c r="G175" i="26"/>
  <c r="K175" i="26"/>
  <c r="C176" i="26"/>
  <c r="E176" i="26"/>
  <c r="G176" i="26"/>
  <c r="K176" i="26"/>
  <c r="C177" i="26"/>
  <c r="E177" i="26"/>
  <c r="G177" i="26"/>
  <c r="K177" i="26"/>
  <c r="C178" i="26"/>
  <c r="E178" i="26"/>
  <c r="G178" i="26"/>
  <c r="K178" i="26"/>
  <c r="C179" i="26"/>
  <c r="E179" i="26"/>
  <c r="G179" i="26"/>
  <c r="K179" i="26"/>
  <c r="C180" i="26"/>
  <c r="E180" i="26"/>
  <c r="G180" i="26"/>
  <c r="K180" i="26"/>
  <c r="C181" i="26"/>
  <c r="E181" i="26"/>
  <c r="G181" i="26"/>
  <c r="K181" i="26"/>
  <c r="C182" i="26"/>
  <c r="E182" i="26"/>
  <c r="G182" i="26"/>
  <c r="K182" i="26"/>
  <c r="C183" i="26"/>
  <c r="E183" i="26"/>
  <c r="G183" i="26"/>
  <c r="K183" i="26"/>
  <c r="C184" i="26"/>
  <c r="E184" i="26"/>
  <c r="G184" i="26"/>
  <c r="K184" i="26"/>
  <c r="C185" i="26"/>
  <c r="E185" i="26"/>
  <c r="G185" i="26"/>
  <c r="K185" i="26"/>
  <c r="C186" i="26"/>
  <c r="E186" i="26"/>
  <c r="G186" i="26"/>
  <c r="K186" i="26"/>
  <c r="C187" i="26"/>
  <c r="E187" i="26"/>
  <c r="G187" i="26"/>
  <c r="K187" i="26"/>
  <c r="C188" i="26"/>
  <c r="E188" i="26"/>
  <c r="G188" i="26"/>
  <c r="K188" i="26"/>
  <c r="C189" i="26"/>
  <c r="E189" i="26"/>
  <c r="G189" i="26"/>
  <c r="K189" i="26"/>
  <c r="C190" i="26"/>
  <c r="E190" i="26"/>
  <c r="G190" i="26"/>
  <c r="K190" i="26"/>
  <c r="C191" i="26"/>
  <c r="E191" i="26"/>
  <c r="G191" i="26"/>
  <c r="K191" i="26"/>
  <c r="C192" i="26"/>
  <c r="E192" i="26"/>
  <c r="G192" i="26"/>
  <c r="K192" i="26"/>
  <c r="C193" i="26"/>
  <c r="E193" i="26"/>
  <c r="G193" i="26"/>
  <c r="K193" i="26"/>
  <c r="K194" i="26"/>
  <c r="C195" i="26"/>
  <c r="D195" i="26" s="1"/>
  <c r="E195" i="26"/>
  <c r="F195" i="26" s="1"/>
  <c r="G195" i="26"/>
  <c r="H195" i="26" s="1"/>
  <c r="K195" i="26"/>
  <c r="K196" i="26"/>
  <c r="C197" i="26"/>
  <c r="E197" i="26"/>
  <c r="G197" i="26"/>
  <c r="K197" i="26"/>
  <c r="C198" i="26"/>
  <c r="E198" i="26"/>
  <c r="G198" i="26"/>
  <c r="K198" i="26"/>
  <c r="C199" i="26"/>
  <c r="E199" i="26"/>
  <c r="G199" i="26"/>
  <c r="K199" i="26"/>
  <c r="C200" i="26"/>
  <c r="E200" i="26"/>
  <c r="G200" i="26"/>
  <c r="K200" i="26"/>
  <c r="C201" i="26"/>
  <c r="E201" i="26"/>
  <c r="G201" i="26"/>
  <c r="K201" i="26"/>
  <c r="C202" i="26"/>
  <c r="E202" i="26"/>
  <c r="G202" i="26"/>
  <c r="K202" i="26"/>
  <c r="K203" i="26"/>
  <c r="C204" i="26"/>
  <c r="D204" i="26" s="1"/>
  <c r="E204" i="26"/>
  <c r="F204" i="26" s="1"/>
  <c r="G204" i="26"/>
  <c r="H204" i="26" s="1"/>
  <c r="K204" i="26"/>
  <c r="K205" i="26"/>
  <c r="K206" i="26"/>
  <c r="K207" i="26"/>
  <c r="C208" i="26"/>
  <c r="E208" i="26"/>
  <c r="G208" i="26"/>
  <c r="K208" i="26"/>
  <c r="C209" i="26"/>
  <c r="E209" i="26"/>
  <c r="G209" i="26"/>
  <c r="K209" i="26"/>
  <c r="C210" i="26"/>
  <c r="E210" i="26"/>
  <c r="G210" i="26"/>
  <c r="K210" i="26"/>
  <c r="C211" i="26"/>
  <c r="E211" i="26"/>
  <c r="G211" i="26"/>
  <c r="K211" i="26"/>
  <c r="C212" i="26"/>
  <c r="E212" i="26"/>
  <c r="G212" i="26"/>
  <c r="K212" i="26"/>
  <c r="C213" i="26"/>
  <c r="E213" i="26"/>
  <c r="G213" i="26"/>
  <c r="K213" i="26"/>
  <c r="C214" i="26"/>
  <c r="E214" i="26"/>
  <c r="G214" i="26"/>
  <c r="K214" i="26"/>
  <c r="C215" i="26"/>
  <c r="E215" i="26"/>
  <c r="G215" i="26"/>
  <c r="K215" i="26"/>
  <c r="C216" i="26"/>
  <c r="E216" i="26"/>
  <c r="G216" i="26"/>
  <c r="K216" i="26"/>
  <c r="C217" i="26"/>
  <c r="E217" i="26"/>
  <c r="G217" i="26"/>
  <c r="K217" i="26"/>
  <c r="C219" i="26"/>
  <c r="E219" i="26"/>
  <c r="G219" i="26"/>
  <c r="K219" i="26"/>
  <c r="C220" i="26"/>
  <c r="E220" i="26"/>
  <c r="G220" i="26"/>
  <c r="K220" i="26"/>
  <c r="C221" i="26"/>
  <c r="E221" i="26"/>
  <c r="G221" i="26"/>
  <c r="K221" i="26"/>
  <c r="C222" i="26"/>
  <c r="E222" i="26"/>
  <c r="G222" i="26"/>
  <c r="K222" i="26"/>
  <c r="C223" i="26"/>
  <c r="E223" i="26"/>
  <c r="G223" i="26"/>
  <c r="K223" i="26"/>
  <c r="C224" i="26"/>
  <c r="E224" i="26"/>
  <c r="G224" i="26"/>
  <c r="K224" i="26"/>
  <c r="C225" i="26"/>
  <c r="E225" i="26"/>
  <c r="G225" i="26"/>
  <c r="K225" i="26"/>
  <c r="C226" i="26"/>
  <c r="E226" i="26"/>
  <c r="G226" i="26"/>
  <c r="K226" i="26"/>
  <c r="C227" i="26"/>
  <c r="E227" i="26"/>
  <c r="G227" i="26"/>
  <c r="K227" i="26"/>
  <c r="C228" i="26"/>
  <c r="E228" i="26"/>
  <c r="G228" i="26"/>
  <c r="K228" i="26"/>
  <c r="C229" i="26"/>
  <c r="E229" i="26"/>
  <c r="G229" i="26"/>
  <c r="K229" i="26"/>
  <c r="C230" i="26"/>
  <c r="E230" i="26"/>
  <c r="G230" i="26"/>
  <c r="K230" i="26"/>
  <c r="C231" i="26"/>
  <c r="E231" i="26"/>
  <c r="G231" i="26"/>
  <c r="K231" i="26"/>
  <c r="C232" i="26"/>
  <c r="E232" i="26"/>
  <c r="G232" i="26"/>
  <c r="K232" i="26"/>
  <c r="C233" i="26"/>
  <c r="E233" i="26"/>
  <c r="G233" i="26"/>
  <c r="K233" i="26"/>
  <c r="C234" i="26"/>
  <c r="E234" i="26"/>
  <c r="G234" i="26"/>
  <c r="K234" i="26"/>
  <c r="C235" i="26"/>
  <c r="E235" i="26"/>
  <c r="G235" i="26"/>
  <c r="K235" i="26"/>
  <c r="C236" i="26"/>
  <c r="E236" i="26"/>
  <c r="G236" i="26"/>
  <c r="K236" i="26"/>
  <c r="C237" i="26"/>
  <c r="E237" i="26"/>
  <c r="G237" i="26"/>
  <c r="K237" i="26"/>
  <c r="C238" i="26"/>
  <c r="E238" i="26"/>
  <c r="G238" i="26"/>
  <c r="K238" i="26"/>
  <c r="C239" i="26"/>
  <c r="E239" i="26"/>
  <c r="G239" i="26"/>
  <c r="K239" i="26"/>
  <c r="C240" i="26"/>
  <c r="E240" i="26"/>
  <c r="G240" i="26"/>
  <c r="K240" i="26"/>
  <c r="C241" i="26"/>
  <c r="E241" i="26"/>
  <c r="G241" i="26"/>
  <c r="K241" i="26"/>
  <c r="C242" i="26"/>
  <c r="E242" i="26"/>
  <c r="G242" i="26"/>
  <c r="K242" i="26"/>
  <c r="C243" i="26"/>
  <c r="E243" i="26"/>
  <c r="G243" i="26"/>
  <c r="K243" i="26"/>
  <c r="C244" i="26"/>
  <c r="G244" i="26"/>
  <c r="K244" i="26"/>
  <c r="C245" i="26"/>
  <c r="E245" i="26"/>
  <c r="G245" i="26"/>
  <c r="K245" i="26"/>
  <c r="C246" i="26"/>
  <c r="E246" i="26"/>
  <c r="G246" i="26"/>
  <c r="K246" i="26"/>
  <c r="C247" i="26"/>
  <c r="E247" i="26"/>
  <c r="G247" i="26"/>
  <c r="K247" i="26"/>
  <c r="C248" i="26"/>
  <c r="E248" i="26"/>
  <c r="G248" i="26"/>
  <c r="K248" i="26"/>
  <c r="C249" i="26"/>
  <c r="E249" i="26"/>
  <c r="G249" i="26"/>
  <c r="K249" i="26"/>
  <c r="C250" i="26"/>
  <c r="E250" i="26"/>
  <c r="G250" i="26"/>
  <c r="K250" i="26"/>
  <c r="C251" i="26"/>
  <c r="E251" i="26"/>
  <c r="G251" i="26"/>
  <c r="K251" i="26"/>
  <c r="K252" i="26"/>
  <c r="C253" i="26"/>
  <c r="E253" i="26"/>
  <c r="G253" i="26"/>
  <c r="K253" i="26"/>
  <c r="C254" i="26"/>
  <c r="E254" i="26"/>
  <c r="G254" i="26"/>
  <c r="K254" i="26"/>
  <c r="C255" i="26"/>
  <c r="E255" i="26"/>
  <c r="G255" i="26"/>
  <c r="K255" i="26"/>
  <c r="K256" i="26"/>
  <c r="C257" i="26"/>
  <c r="E257" i="26"/>
  <c r="G257" i="26"/>
  <c r="K257" i="26"/>
  <c r="C258" i="26"/>
  <c r="E258" i="26"/>
  <c r="G258" i="26"/>
  <c r="K258" i="26"/>
  <c r="C259" i="26"/>
  <c r="E259" i="26"/>
  <c r="G259" i="26"/>
  <c r="K259" i="26"/>
  <c r="C260" i="26"/>
  <c r="E260" i="26"/>
  <c r="G260" i="26"/>
  <c r="K260" i="26"/>
  <c r="C261" i="26"/>
  <c r="E261" i="26"/>
  <c r="G261" i="26"/>
  <c r="K261" i="26"/>
  <c r="C262" i="26"/>
  <c r="E262" i="26"/>
  <c r="G262" i="26"/>
  <c r="K262" i="26"/>
  <c r="C263" i="26"/>
  <c r="E263" i="26"/>
  <c r="G263" i="26"/>
  <c r="K263" i="26"/>
  <c r="C264" i="26"/>
  <c r="E264" i="26"/>
  <c r="G264" i="26"/>
  <c r="K264" i="26"/>
  <c r="C265" i="26"/>
  <c r="E265" i="26"/>
  <c r="G265" i="26"/>
  <c r="K265" i="26"/>
  <c r="C266" i="26"/>
  <c r="E266" i="26"/>
  <c r="G266" i="26"/>
  <c r="K266" i="26"/>
  <c r="C267" i="26"/>
  <c r="E267" i="26"/>
  <c r="G267" i="26"/>
  <c r="K267" i="26"/>
  <c r="C268" i="26"/>
  <c r="E268" i="26"/>
  <c r="G268" i="26"/>
  <c r="K268" i="26"/>
  <c r="K269" i="26"/>
  <c r="C270" i="26"/>
  <c r="E270" i="26"/>
  <c r="G270" i="26"/>
  <c r="K270" i="26"/>
  <c r="C271" i="26"/>
  <c r="E271" i="26"/>
  <c r="G271" i="26"/>
  <c r="K271" i="26"/>
  <c r="K272" i="26"/>
  <c r="K273" i="26"/>
  <c r="K274" i="26"/>
  <c r="C275" i="26"/>
  <c r="E275" i="26"/>
  <c r="L275" i="26" s="1"/>
  <c r="G275" i="26"/>
  <c r="K275" i="26"/>
  <c r="C276" i="26"/>
  <c r="E276" i="26"/>
  <c r="G276" i="26"/>
  <c r="K276" i="26"/>
  <c r="C277" i="26"/>
  <c r="E277" i="26"/>
  <c r="G277" i="26"/>
  <c r="K277" i="26"/>
  <c r="C279" i="26"/>
  <c r="E279" i="26"/>
  <c r="G279" i="26"/>
  <c r="K279" i="26"/>
  <c r="C280" i="26"/>
  <c r="E280" i="26"/>
  <c r="G280" i="26"/>
  <c r="K280" i="26"/>
  <c r="C281" i="26"/>
  <c r="E281" i="26"/>
  <c r="G281" i="26"/>
  <c r="K281" i="26"/>
  <c r="C282" i="26"/>
  <c r="E282" i="26"/>
  <c r="G282" i="26"/>
  <c r="K282" i="26"/>
  <c r="C283" i="26"/>
  <c r="E283" i="26"/>
  <c r="G283" i="26"/>
  <c r="K283" i="26"/>
  <c r="C284" i="26"/>
  <c r="E284" i="26"/>
  <c r="G284" i="26"/>
  <c r="K284" i="26"/>
  <c r="C285" i="26"/>
  <c r="E285" i="26"/>
  <c r="G285" i="26"/>
  <c r="K285" i="26"/>
  <c r="C286" i="26"/>
  <c r="E286" i="26"/>
  <c r="G286" i="26"/>
  <c r="K286" i="26"/>
  <c r="C287" i="26"/>
  <c r="E287" i="26"/>
  <c r="G287" i="26"/>
  <c r="K287" i="26"/>
  <c r="C288" i="26"/>
  <c r="E288" i="26"/>
  <c r="G288" i="26"/>
  <c r="K288" i="26"/>
  <c r="C289" i="26"/>
  <c r="E289" i="26"/>
  <c r="G289" i="26"/>
  <c r="K289" i="26"/>
  <c r="C290" i="26"/>
  <c r="E290" i="26"/>
  <c r="G290" i="26"/>
  <c r="K290" i="26"/>
  <c r="C291" i="26"/>
  <c r="E291" i="26"/>
  <c r="G291" i="26"/>
  <c r="K291" i="26"/>
  <c r="C292" i="26"/>
  <c r="E292" i="26"/>
  <c r="G292" i="26"/>
  <c r="K292" i="26"/>
  <c r="C293" i="26"/>
  <c r="E293" i="26"/>
  <c r="G293" i="26"/>
  <c r="K293" i="26"/>
  <c r="C294" i="26"/>
  <c r="E294" i="26"/>
  <c r="G294" i="26"/>
  <c r="K294" i="26"/>
  <c r="C295" i="26"/>
  <c r="E295" i="26"/>
  <c r="G295" i="26"/>
  <c r="K295" i="26"/>
  <c r="C296" i="26"/>
  <c r="E296" i="26"/>
  <c r="G296" i="26"/>
  <c r="K296" i="26"/>
  <c r="C297" i="26"/>
  <c r="E297" i="26"/>
  <c r="G297" i="26"/>
  <c r="K297" i="26"/>
  <c r="C298" i="26"/>
  <c r="E298" i="26"/>
  <c r="G298" i="26"/>
  <c r="K298" i="26"/>
  <c r="C299" i="26"/>
  <c r="E299" i="26"/>
  <c r="G299" i="26"/>
  <c r="K299" i="26"/>
  <c r="C300" i="26"/>
  <c r="E300" i="26"/>
  <c r="G300" i="26"/>
  <c r="K300" i="26"/>
  <c r="C301" i="26"/>
  <c r="E301" i="26"/>
  <c r="G301" i="26"/>
  <c r="K301" i="26"/>
  <c r="C302" i="26"/>
  <c r="E302" i="26"/>
  <c r="G302" i="26"/>
  <c r="K302" i="26"/>
  <c r="C303" i="26"/>
  <c r="E303" i="26"/>
  <c r="G303" i="26"/>
  <c r="K303" i="26"/>
  <c r="C304" i="26"/>
  <c r="E304" i="26"/>
  <c r="G304" i="26"/>
  <c r="K304" i="26"/>
  <c r="C305" i="26"/>
  <c r="E305" i="26"/>
  <c r="G305" i="26"/>
  <c r="K305" i="26"/>
  <c r="C306" i="26"/>
  <c r="E306" i="26"/>
  <c r="G306" i="26"/>
  <c r="K306" i="26"/>
  <c r="C307" i="26"/>
  <c r="G307" i="26"/>
  <c r="K307" i="26"/>
  <c r="C308" i="26"/>
  <c r="E308" i="26"/>
  <c r="G308" i="26"/>
  <c r="K308" i="26"/>
  <c r="C309" i="26"/>
  <c r="E309" i="26"/>
  <c r="G309" i="26"/>
  <c r="K309" i="26"/>
  <c r="C310" i="26"/>
  <c r="E310" i="26"/>
  <c r="G310" i="26"/>
  <c r="K310" i="26"/>
  <c r="C311" i="26"/>
  <c r="E311" i="26"/>
  <c r="G311" i="26"/>
  <c r="K311" i="26"/>
  <c r="C312" i="26"/>
  <c r="E312" i="26"/>
  <c r="G312" i="26"/>
  <c r="K312" i="26"/>
  <c r="C313" i="26"/>
  <c r="E313" i="26"/>
  <c r="G313" i="26"/>
  <c r="K313" i="26"/>
  <c r="C314" i="26"/>
  <c r="E314" i="26"/>
  <c r="G314" i="26"/>
  <c r="K314" i="26"/>
  <c r="C315" i="26"/>
  <c r="E315" i="26"/>
  <c r="G315" i="26"/>
  <c r="K315" i="26"/>
  <c r="C316" i="26"/>
  <c r="E316" i="26"/>
  <c r="G316" i="26"/>
  <c r="K316" i="26"/>
  <c r="C317" i="26"/>
  <c r="E317" i="26"/>
  <c r="G317" i="26"/>
  <c r="K317" i="26"/>
  <c r="C318" i="26"/>
  <c r="E318" i="26"/>
  <c r="G318" i="26"/>
  <c r="K318" i="26"/>
  <c r="C319" i="26"/>
  <c r="E319" i="26"/>
  <c r="G319" i="26"/>
  <c r="K319" i="26"/>
  <c r="C320" i="26"/>
  <c r="E320" i="26"/>
  <c r="G320" i="26"/>
  <c r="K320" i="26"/>
  <c r="C321" i="26"/>
  <c r="E321" i="26"/>
  <c r="G321" i="26"/>
  <c r="K321" i="26"/>
  <c r="C322" i="26"/>
  <c r="E322" i="26"/>
  <c r="G322" i="26"/>
  <c r="K322" i="26"/>
  <c r="C323" i="26"/>
  <c r="E323" i="26"/>
  <c r="G323" i="26"/>
  <c r="K323" i="26"/>
  <c r="C324" i="26"/>
  <c r="E324" i="26"/>
  <c r="G324" i="26"/>
  <c r="K324" i="26"/>
  <c r="C325" i="26"/>
  <c r="E325" i="26"/>
  <c r="G325" i="26"/>
  <c r="K325" i="26"/>
  <c r="C326" i="26"/>
  <c r="E326" i="26"/>
  <c r="G326" i="26"/>
  <c r="K326" i="26"/>
  <c r="C327" i="26"/>
  <c r="E327" i="26"/>
  <c r="G327" i="26"/>
  <c r="K327" i="26"/>
  <c r="C328" i="26"/>
  <c r="E328" i="26"/>
  <c r="G328" i="26"/>
  <c r="K328" i="26"/>
  <c r="C329" i="26"/>
  <c r="E329" i="26"/>
  <c r="G329" i="26"/>
  <c r="K329" i="26"/>
  <c r="C330" i="26"/>
  <c r="E330" i="26"/>
  <c r="G330" i="26"/>
  <c r="K330" i="26"/>
  <c r="C331" i="26"/>
  <c r="E331" i="26"/>
  <c r="G331" i="26"/>
  <c r="K331" i="26"/>
  <c r="C332" i="26"/>
  <c r="E332" i="26"/>
  <c r="G332" i="26"/>
  <c r="K332" i="26"/>
  <c r="C333" i="26"/>
  <c r="E333" i="26"/>
  <c r="G333" i="26"/>
  <c r="K333" i="26"/>
  <c r="C334" i="26"/>
  <c r="E334" i="26"/>
  <c r="G334" i="26"/>
  <c r="K334" i="26"/>
  <c r="C335" i="26"/>
  <c r="E335" i="26"/>
  <c r="G335" i="26"/>
  <c r="K335" i="26"/>
  <c r="C336" i="26"/>
  <c r="E336" i="26"/>
  <c r="G336" i="26"/>
  <c r="K336" i="26"/>
  <c r="C337" i="26"/>
  <c r="E337" i="26"/>
  <c r="G337" i="26"/>
  <c r="K337" i="26"/>
  <c r="C338" i="26"/>
  <c r="E338" i="26"/>
  <c r="G338" i="26"/>
  <c r="K338" i="26"/>
  <c r="C339" i="26"/>
  <c r="E339" i="26"/>
  <c r="G339" i="26"/>
  <c r="K339" i="26"/>
  <c r="C340" i="26"/>
  <c r="E340" i="26"/>
  <c r="G340" i="26"/>
  <c r="K340" i="26"/>
  <c r="C341" i="26"/>
  <c r="E341" i="26"/>
  <c r="G341" i="26"/>
  <c r="K341" i="26"/>
  <c r="C342" i="26"/>
  <c r="E342" i="26"/>
  <c r="G342" i="26"/>
  <c r="K342" i="26"/>
  <c r="C343" i="26"/>
  <c r="E343" i="26"/>
  <c r="G343" i="26"/>
  <c r="K343" i="26"/>
  <c r="C344" i="26"/>
  <c r="E344" i="26"/>
  <c r="G344" i="26"/>
  <c r="K344" i="26"/>
  <c r="C345" i="26"/>
  <c r="E345" i="26"/>
  <c r="G345" i="26"/>
  <c r="K345" i="26"/>
  <c r="C346" i="26"/>
  <c r="E346" i="26"/>
  <c r="G346" i="26"/>
  <c r="K346" i="26"/>
  <c r="C347" i="26"/>
  <c r="E347" i="26"/>
  <c r="G347" i="26"/>
  <c r="K347" i="26"/>
  <c r="C348" i="26"/>
  <c r="E348" i="26"/>
  <c r="G348" i="26"/>
  <c r="K348" i="26"/>
  <c r="C349" i="26"/>
  <c r="E349" i="26"/>
  <c r="G349" i="26"/>
  <c r="K349" i="26"/>
  <c r="C350" i="26"/>
  <c r="E350" i="26"/>
  <c r="G350" i="26"/>
  <c r="K350" i="26"/>
  <c r="C351" i="26"/>
  <c r="E351" i="26"/>
  <c r="G351" i="26"/>
  <c r="K351" i="26"/>
  <c r="C352" i="26"/>
  <c r="E352" i="26"/>
  <c r="G352" i="26"/>
  <c r="K352" i="26"/>
  <c r="C353" i="26"/>
  <c r="E353" i="26"/>
  <c r="G353" i="26"/>
  <c r="K353" i="26"/>
  <c r="C354" i="26"/>
  <c r="E354" i="26"/>
  <c r="G354" i="26"/>
  <c r="K354" i="26"/>
  <c r="C355" i="26"/>
  <c r="E355" i="26"/>
  <c r="G355" i="26"/>
  <c r="K355" i="26"/>
  <c r="C356" i="26"/>
  <c r="E356" i="26"/>
  <c r="G356" i="26"/>
  <c r="K356" i="26"/>
  <c r="C357" i="26"/>
  <c r="E357" i="26"/>
  <c r="G357" i="26"/>
  <c r="K357" i="26"/>
  <c r="C358" i="26"/>
  <c r="E358" i="26"/>
  <c r="G358" i="26"/>
  <c r="K358" i="26"/>
  <c r="C359" i="26"/>
  <c r="E359" i="26"/>
  <c r="G359" i="26"/>
  <c r="K359" i="26"/>
  <c r="C360" i="26"/>
  <c r="E360" i="26"/>
  <c r="G360" i="26"/>
  <c r="K360" i="26"/>
  <c r="C361" i="26"/>
  <c r="E361" i="26"/>
  <c r="G361" i="26"/>
  <c r="K361" i="26"/>
  <c r="C362" i="26"/>
  <c r="E362" i="26"/>
  <c r="G362" i="26"/>
  <c r="K362" i="26"/>
  <c r="C363" i="26"/>
  <c r="E363" i="26"/>
  <c r="G363" i="26"/>
  <c r="K363" i="26"/>
  <c r="C364" i="26"/>
  <c r="E364" i="26"/>
  <c r="G364" i="26"/>
  <c r="K364" i="26"/>
  <c r="C365" i="26"/>
  <c r="E365" i="26"/>
  <c r="G365" i="26"/>
  <c r="K365" i="26"/>
  <c r="K366" i="26"/>
  <c r="C367" i="26"/>
  <c r="E367" i="26"/>
  <c r="G367" i="26"/>
  <c r="K367" i="26"/>
  <c r="C368" i="26"/>
  <c r="E368" i="26"/>
  <c r="G368" i="26"/>
  <c r="K368" i="26"/>
  <c r="K369" i="26"/>
  <c r="C371" i="26"/>
  <c r="E371" i="26"/>
  <c r="G371" i="26"/>
  <c r="K371" i="26"/>
  <c r="C372" i="26"/>
  <c r="E372" i="26"/>
  <c r="G372" i="26"/>
  <c r="K372" i="26"/>
  <c r="C373" i="26"/>
  <c r="E373" i="26"/>
  <c r="G373" i="26"/>
  <c r="K373" i="26"/>
  <c r="C374" i="26"/>
  <c r="E374" i="26"/>
  <c r="G374" i="26"/>
  <c r="K374" i="26"/>
  <c r="C375" i="26"/>
  <c r="E375" i="26"/>
  <c r="G375" i="26"/>
  <c r="K375" i="26"/>
  <c r="C376" i="26"/>
  <c r="E376" i="26"/>
  <c r="G376" i="26"/>
  <c r="K376" i="26"/>
  <c r="C377" i="26"/>
  <c r="E377" i="26"/>
  <c r="G377" i="26"/>
  <c r="K377" i="26"/>
  <c r="C378" i="26"/>
  <c r="E378" i="26"/>
  <c r="G378" i="26"/>
  <c r="K378" i="26"/>
  <c r="C379" i="26"/>
  <c r="E379" i="26"/>
  <c r="G379" i="26"/>
  <c r="K379" i="26"/>
  <c r="C380" i="26"/>
  <c r="E380" i="26"/>
  <c r="G380" i="26"/>
  <c r="K380" i="26"/>
  <c r="C381" i="26"/>
  <c r="E381" i="26"/>
  <c r="G381" i="26"/>
  <c r="K381" i="26"/>
  <c r="C382" i="26"/>
  <c r="E382" i="26"/>
  <c r="G382" i="26"/>
  <c r="K382" i="26"/>
  <c r="C383" i="26"/>
  <c r="E383" i="26"/>
  <c r="G383" i="26"/>
  <c r="K383" i="26"/>
  <c r="C384" i="26"/>
  <c r="E384" i="26"/>
  <c r="G384" i="26"/>
  <c r="K384" i="26"/>
  <c r="C385" i="26"/>
  <c r="E385" i="26"/>
  <c r="G385" i="26"/>
  <c r="K385" i="26"/>
  <c r="C386" i="26"/>
  <c r="E386" i="26"/>
  <c r="G386" i="26"/>
  <c r="K386" i="26"/>
  <c r="C387" i="26"/>
  <c r="E387" i="26"/>
  <c r="G387" i="26"/>
  <c r="K387" i="26"/>
  <c r="C388" i="26"/>
  <c r="E388" i="26"/>
  <c r="G388" i="26"/>
  <c r="K388" i="26"/>
  <c r="C389" i="26"/>
  <c r="E389" i="26"/>
  <c r="G389" i="26"/>
  <c r="K389" i="26"/>
  <c r="C390" i="26"/>
  <c r="E390" i="26"/>
  <c r="G390" i="26"/>
  <c r="K390" i="26"/>
  <c r="C391" i="26"/>
  <c r="E391" i="26"/>
  <c r="G391" i="26"/>
  <c r="K391" i="26"/>
  <c r="C392" i="26"/>
  <c r="E392" i="26"/>
  <c r="G392" i="26"/>
  <c r="K392" i="26"/>
  <c r="C393" i="26"/>
  <c r="E393" i="26"/>
  <c r="G393" i="26"/>
  <c r="K393" i="26"/>
  <c r="C394" i="26"/>
  <c r="E394" i="26"/>
  <c r="G394" i="26"/>
  <c r="K394" i="26"/>
  <c r="C395" i="26"/>
  <c r="E395" i="26"/>
  <c r="G395" i="26"/>
  <c r="K395" i="26"/>
  <c r="C396" i="26"/>
  <c r="E396" i="26"/>
  <c r="G396" i="26"/>
  <c r="K396" i="26"/>
  <c r="C397" i="26"/>
  <c r="E397" i="26"/>
  <c r="G397" i="26"/>
  <c r="K397" i="26"/>
  <c r="C398" i="26"/>
  <c r="E398" i="26"/>
  <c r="G398" i="26"/>
  <c r="K398" i="26"/>
  <c r="C399" i="26"/>
  <c r="E399" i="26"/>
  <c r="G399" i="26"/>
  <c r="K399" i="26"/>
  <c r="C400" i="26"/>
  <c r="E400" i="26"/>
  <c r="G400" i="26"/>
  <c r="K400" i="26"/>
  <c r="C401" i="26"/>
  <c r="E401" i="26"/>
  <c r="G401" i="26"/>
  <c r="K401" i="26"/>
  <c r="C402" i="26"/>
  <c r="E402" i="26"/>
  <c r="G402" i="26"/>
  <c r="K402" i="26"/>
  <c r="C403" i="26"/>
  <c r="E403" i="26"/>
  <c r="G403" i="26"/>
  <c r="K403" i="26"/>
  <c r="C404" i="26"/>
  <c r="E404" i="26"/>
  <c r="G404" i="26"/>
  <c r="K404" i="26"/>
  <c r="C405" i="26"/>
  <c r="E405" i="26"/>
  <c r="G405" i="26"/>
  <c r="K405" i="26"/>
  <c r="C406" i="26"/>
  <c r="E406" i="26"/>
  <c r="G406" i="26"/>
  <c r="K406" i="26"/>
  <c r="C407" i="26"/>
  <c r="E407" i="26"/>
  <c r="G407" i="26"/>
  <c r="K407" i="26"/>
  <c r="C408" i="26"/>
  <c r="E408" i="26"/>
  <c r="G408" i="26"/>
  <c r="K408" i="26"/>
  <c r="C409" i="26"/>
  <c r="E409" i="26"/>
  <c r="G409" i="26"/>
  <c r="K409" i="26"/>
  <c r="C410" i="26"/>
  <c r="E410" i="26"/>
  <c r="G410" i="26"/>
  <c r="K410" i="26"/>
  <c r="C411" i="26"/>
  <c r="E411" i="26"/>
  <c r="G411" i="26"/>
  <c r="K411" i="26"/>
  <c r="C412" i="26"/>
  <c r="E412" i="26"/>
  <c r="G412" i="26"/>
  <c r="K412" i="26"/>
  <c r="C413" i="26"/>
  <c r="E413" i="26"/>
  <c r="G413" i="26"/>
  <c r="K413" i="26"/>
  <c r="C414" i="26"/>
  <c r="E414" i="26"/>
  <c r="G414" i="26"/>
  <c r="K414" i="26"/>
  <c r="C415" i="26"/>
  <c r="E415" i="26"/>
  <c r="G415" i="26"/>
  <c r="K415" i="26"/>
  <c r="C416" i="26"/>
  <c r="E416" i="26"/>
  <c r="G416" i="26"/>
  <c r="K416" i="26"/>
  <c r="C417" i="26"/>
  <c r="E417" i="26"/>
  <c r="G417" i="26"/>
  <c r="K417" i="26"/>
  <c r="C418" i="26"/>
  <c r="E418" i="26"/>
  <c r="G418" i="26"/>
  <c r="K418" i="26"/>
  <c r="C419" i="26"/>
  <c r="E419" i="26"/>
  <c r="G419" i="26"/>
  <c r="K419" i="26"/>
  <c r="C420" i="26"/>
  <c r="E420" i="26"/>
  <c r="G420" i="26"/>
  <c r="K420" i="26"/>
  <c r="C421" i="26"/>
  <c r="E421" i="26"/>
  <c r="G421" i="26"/>
  <c r="K421" i="26"/>
  <c r="C422" i="26"/>
  <c r="G422" i="26"/>
  <c r="K422" i="26"/>
  <c r="C423" i="26"/>
  <c r="E423" i="26"/>
  <c r="G423" i="26"/>
  <c r="K423" i="26"/>
  <c r="C424" i="26"/>
  <c r="G424" i="26"/>
  <c r="K424" i="26"/>
  <c r="C425" i="26"/>
  <c r="E425" i="26"/>
  <c r="G425" i="26"/>
  <c r="K425" i="26"/>
  <c r="C426" i="26"/>
  <c r="E426" i="26"/>
  <c r="G426" i="26"/>
  <c r="K426" i="26"/>
  <c r="C427" i="26"/>
  <c r="E427" i="26"/>
  <c r="G427" i="26"/>
  <c r="K427" i="26"/>
  <c r="C428" i="26"/>
  <c r="E428" i="26"/>
  <c r="G428" i="26"/>
  <c r="K428" i="26"/>
  <c r="C429" i="26"/>
  <c r="E429" i="26"/>
  <c r="G429" i="26"/>
  <c r="K429" i="26"/>
  <c r="C430" i="26"/>
  <c r="E430" i="26"/>
  <c r="G430" i="26"/>
  <c r="K430" i="26"/>
  <c r="C431" i="26"/>
  <c r="E431" i="26"/>
  <c r="G431" i="26"/>
  <c r="K431" i="26"/>
  <c r="C432" i="26"/>
  <c r="E432" i="26"/>
  <c r="G432" i="26"/>
  <c r="K432" i="26"/>
  <c r="C433" i="26"/>
  <c r="E433" i="26"/>
  <c r="G433" i="26"/>
  <c r="K433" i="26"/>
  <c r="C434" i="26"/>
  <c r="E434" i="26"/>
  <c r="G434" i="26"/>
  <c r="K434" i="26"/>
  <c r="C435" i="26"/>
  <c r="E435" i="26"/>
  <c r="G435" i="26"/>
  <c r="K435" i="26"/>
  <c r="C436" i="26"/>
  <c r="E436" i="26"/>
  <c r="G436" i="26"/>
  <c r="K436" i="26"/>
  <c r="C437" i="26"/>
  <c r="E437" i="26"/>
  <c r="G437" i="26"/>
  <c r="K437" i="26"/>
  <c r="C438" i="26"/>
  <c r="E438" i="26"/>
  <c r="G438" i="26"/>
  <c r="K438" i="26"/>
  <c r="C439" i="26"/>
  <c r="E439" i="26"/>
  <c r="G439" i="26"/>
  <c r="K439" i="26"/>
  <c r="C440" i="26"/>
  <c r="E440" i="26"/>
  <c r="G440" i="26"/>
  <c r="K440" i="26"/>
  <c r="C441" i="26"/>
  <c r="E441" i="26"/>
  <c r="G441" i="26"/>
  <c r="K441" i="26"/>
  <c r="C442" i="26"/>
  <c r="E442" i="26"/>
  <c r="G442" i="26"/>
  <c r="K442" i="26"/>
  <c r="C443" i="26"/>
  <c r="E443" i="26"/>
  <c r="G443" i="26"/>
  <c r="K443" i="26"/>
  <c r="C444" i="26"/>
  <c r="E444" i="26"/>
  <c r="G444" i="26"/>
  <c r="K444" i="26"/>
  <c r="C445" i="26"/>
  <c r="E445" i="26"/>
  <c r="G445" i="26"/>
  <c r="K445" i="26"/>
  <c r="C446" i="26"/>
  <c r="E446" i="26"/>
  <c r="G446" i="26"/>
  <c r="K446" i="26"/>
  <c r="C447" i="26"/>
  <c r="E447" i="26"/>
  <c r="G447" i="26"/>
  <c r="K447" i="26"/>
  <c r="C448" i="26"/>
  <c r="E448" i="26"/>
  <c r="G448" i="26"/>
  <c r="K448" i="26"/>
  <c r="C449" i="26"/>
  <c r="E449" i="26"/>
  <c r="G449" i="26"/>
  <c r="K449" i="26"/>
  <c r="C450" i="26"/>
  <c r="E450" i="26"/>
  <c r="G450" i="26"/>
  <c r="K450" i="26"/>
  <c r="C451" i="26"/>
  <c r="E451" i="26"/>
  <c r="G451" i="26"/>
  <c r="K451" i="26"/>
  <c r="C452" i="26"/>
  <c r="E452" i="26"/>
  <c r="G452" i="26"/>
  <c r="K452" i="26"/>
  <c r="C453" i="26"/>
  <c r="E453" i="26"/>
  <c r="G453" i="26"/>
  <c r="K453" i="26"/>
  <c r="C454" i="26"/>
  <c r="E454" i="26"/>
  <c r="G454" i="26"/>
  <c r="K454" i="26"/>
  <c r="C455" i="26"/>
  <c r="E455" i="26"/>
  <c r="G455" i="26"/>
  <c r="K455" i="26"/>
  <c r="C456" i="26"/>
  <c r="E456" i="26"/>
  <c r="G456" i="26"/>
  <c r="K456" i="26"/>
  <c r="C457" i="26"/>
  <c r="E457" i="26"/>
  <c r="G457" i="26"/>
  <c r="K457" i="26"/>
  <c r="C458" i="26"/>
  <c r="E458" i="26"/>
  <c r="G458" i="26"/>
  <c r="K458" i="26"/>
  <c r="C459" i="26"/>
  <c r="E459" i="26"/>
  <c r="G459" i="26"/>
  <c r="K459" i="26"/>
  <c r="C460" i="26"/>
  <c r="E460" i="26"/>
  <c r="G460" i="26"/>
  <c r="K460" i="26"/>
  <c r="C461" i="26"/>
  <c r="E461" i="26"/>
  <c r="G461" i="26"/>
  <c r="K461" i="26"/>
  <c r="C462" i="26"/>
  <c r="E462" i="26"/>
  <c r="G462" i="26"/>
  <c r="K462" i="26"/>
  <c r="C463" i="26"/>
  <c r="E463" i="26"/>
  <c r="G463" i="26"/>
  <c r="K463" i="26"/>
  <c r="C464" i="26"/>
  <c r="E464" i="26"/>
  <c r="G464" i="26"/>
  <c r="K464" i="26"/>
  <c r="C465" i="26"/>
  <c r="E465" i="26"/>
  <c r="G465" i="26"/>
  <c r="K465" i="26"/>
  <c r="C466" i="26"/>
  <c r="E466" i="26"/>
  <c r="G466" i="26"/>
  <c r="K466" i="26"/>
  <c r="C467" i="26"/>
  <c r="E467" i="26"/>
  <c r="G467" i="26"/>
  <c r="K467" i="26"/>
  <c r="C468" i="26"/>
  <c r="E468" i="26"/>
  <c r="G468" i="26"/>
  <c r="K468" i="26"/>
  <c r="C469" i="26"/>
  <c r="E469" i="26"/>
  <c r="G469" i="26"/>
  <c r="K469" i="26"/>
  <c r="C470" i="26"/>
  <c r="E470" i="26"/>
  <c r="G470" i="26"/>
  <c r="K470" i="26"/>
  <c r="C471" i="26"/>
  <c r="E471" i="26"/>
  <c r="G471" i="26"/>
  <c r="K471" i="26"/>
  <c r="C472" i="26"/>
  <c r="E472" i="26"/>
  <c r="G472" i="26"/>
  <c r="K472" i="26"/>
  <c r="C473" i="26"/>
  <c r="E473" i="26"/>
  <c r="G473" i="26"/>
  <c r="K473" i="26"/>
  <c r="C474" i="26"/>
  <c r="E474" i="26"/>
  <c r="G474" i="26"/>
  <c r="K474" i="26"/>
  <c r="C475" i="26"/>
  <c r="E475" i="26"/>
  <c r="G475" i="26"/>
  <c r="K475" i="26"/>
  <c r="C476" i="26"/>
  <c r="E476" i="26"/>
  <c r="G476" i="26"/>
  <c r="K476" i="26"/>
  <c r="C477" i="26"/>
  <c r="E477" i="26"/>
  <c r="G477" i="26"/>
  <c r="K477" i="26"/>
  <c r="C478" i="26"/>
  <c r="E478" i="26"/>
  <c r="G478" i="26"/>
  <c r="K478" i="26"/>
  <c r="C479" i="26"/>
  <c r="E479" i="26"/>
  <c r="G479" i="26"/>
  <c r="K479" i="26"/>
  <c r="C480" i="26"/>
  <c r="E480" i="26"/>
  <c r="G480" i="26"/>
  <c r="K480" i="26"/>
  <c r="C481" i="26"/>
  <c r="E481" i="26"/>
  <c r="G481" i="26"/>
  <c r="K481" i="26"/>
  <c r="C482" i="26"/>
  <c r="E482" i="26"/>
  <c r="G482" i="26"/>
  <c r="K482" i="26"/>
  <c r="C483" i="26"/>
  <c r="E483" i="26"/>
  <c r="G483" i="26"/>
  <c r="K483" i="26"/>
  <c r="C484" i="26"/>
  <c r="E484" i="26"/>
  <c r="G484" i="26"/>
  <c r="K484" i="26"/>
  <c r="C485" i="26"/>
  <c r="E485" i="26"/>
  <c r="G485" i="26"/>
  <c r="K485" i="26"/>
  <c r="C486" i="26"/>
  <c r="E486" i="26"/>
  <c r="G486" i="26"/>
  <c r="K486" i="26"/>
  <c r="C487" i="26"/>
  <c r="E487" i="26"/>
  <c r="G487" i="26"/>
  <c r="K487" i="26"/>
  <c r="C488" i="26"/>
  <c r="E488" i="26"/>
  <c r="G488" i="26"/>
  <c r="K488" i="26"/>
  <c r="C489" i="26"/>
  <c r="E489" i="26"/>
  <c r="G489" i="26"/>
  <c r="K489" i="26"/>
  <c r="C490" i="26"/>
  <c r="E490" i="26"/>
  <c r="G490" i="26"/>
  <c r="K490" i="26"/>
  <c r="C491" i="26"/>
  <c r="E491" i="26"/>
  <c r="G491" i="26"/>
  <c r="K491" i="26"/>
  <c r="C492" i="26"/>
  <c r="E492" i="26"/>
  <c r="G492" i="26"/>
  <c r="K492" i="26"/>
  <c r="C493" i="26"/>
  <c r="E493" i="26"/>
  <c r="G493" i="26"/>
  <c r="K493" i="26"/>
  <c r="C494" i="26"/>
  <c r="E494" i="26"/>
  <c r="G494" i="26"/>
  <c r="K494" i="26"/>
  <c r="C495" i="26"/>
  <c r="E495" i="26"/>
  <c r="G495" i="26"/>
  <c r="K495" i="26"/>
  <c r="C496" i="26"/>
  <c r="E496" i="26"/>
  <c r="G496" i="26"/>
  <c r="K496" i="26"/>
  <c r="C497" i="26"/>
  <c r="E497" i="26"/>
  <c r="G497" i="26"/>
  <c r="K497" i="26"/>
  <c r="C498" i="26"/>
  <c r="E498" i="26"/>
  <c r="G498" i="26"/>
  <c r="K498" i="26"/>
  <c r="C499" i="26"/>
  <c r="E499" i="26"/>
  <c r="G499" i="26"/>
  <c r="K499" i="26"/>
  <c r="C500" i="26"/>
  <c r="E500" i="26"/>
  <c r="G500" i="26"/>
  <c r="K500" i="26"/>
  <c r="C501" i="26"/>
  <c r="E501" i="26"/>
  <c r="G501" i="26"/>
  <c r="K501" i="26"/>
  <c r="C502" i="26"/>
  <c r="E502" i="26"/>
  <c r="G502" i="26"/>
  <c r="K502" i="26"/>
  <c r="C503" i="26"/>
  <c r="E503" i="26"/>
  <c r="G503" i="26"/>
  <c r="K503" i="26"/>
  <c r="C504" i="26"/>
  <c r="E504" i="26"/>
  <c r="G504" i="26"/>
  <c r="K504" i="26"/>
  <c r="C505" i="26"/>
  <c r="E505" i="26"/>
  <c r="G505" i="26"/>
  <c r="K505" i="26"/>
  <c r="C506" i="26"/>
  <c r="E506" i="26"/>
  <c r="G506" i="26"/>
  <c r="K506" i="26"/>
  <c r="C507" i="26"/>
  <c r="E507" i="26"/>
  <c r="G507" i="26"/>
  <c r="K507" i="26"/>
  <c r="C508" i="26"/>
  <c r="E508" i="26"/>
  <c r="G508" i="26"/>
  <c r="K508" i="26"/>
  <c r="C509" i="26"/>
  <c r="E509" i="26"/>
  <c r="G509" i="26"/>
  <c r="K509" i="26"/>
  <c r="C510" i="26"/>
  <c r="E510" i="26"/>
  <c r="G510" i="26"/>
  <c r="K510" i="26"/>
  <c r="C511" i="26"/>
  <c r="E511" i="26"/>
  <c r="G511" i="26"/>
  <c r="K511" i="26"/>
  <c r="C512" i="26"/>
  <c r="E512" i="26"/>
  <c r="G512" i="26"/>
  <c r="K512" i="26"/>
  <c r="C513" i="26"/>
  <c r="E513" i="26"/>
  <c r="G513" i="26"/>
  <c r="K513" i="26"/>
  <c r="C514" i="26"/>
  <c r="E514" i="26"/>
  <c r="G514" i="26"/>
  <c r="K514" i="26"/>
  <c r="C515" i="26"/>
  <c r="E515" i="26"/>
  <c r="G515" i="26"/>
  <c r="K515" i="26"/>
  <c r="C516" i="26"/>
  <c r="E516" i="26"/>
  <c r="G516" i="26"/>
  <c r="K516" i="26"/>
  <c r="C517" i="26"/>
  <c r="E517" i="26"/>
  <c r="G517" i="26"/>
  <c r="K517" i="26"/>
  <c r="C518" i="26"/>
  <c r="E518" i="26"/>
  <c r="G518" i="26"/>
  <c r="K518" i="26"/>
  <c r="C519" i="26"/>
  <c r="E519" i="26"/>
  <c r="G519" i="26"/>
  <c r="K519" i="26"/>
  <c r="C520" i="26"/>
  <c r="E520" i="26"/>
  <c r="G520" i="26"/>
  <c r="K520" i="26"/>
  <c r="C521" i="26"/>
  <c r="E521" i="26"/>
  <c r="G521" i="26"/>
  <c r="K521" i="26"/>
  <c r="C522" i="26"/>
  <c r="E522" i="26"/>
  <c r="G522" i="26"/>
  <c r="K522" i="26"/>
  <c r="C523" i="26"/>
  <c r="E523" i="26"/>
  <c r="G523" i="26"/>
  <c r="K523" i="26"/>
  <c r="C524" i="26"/>
  <c r="E524" i="26"/>
  <c r="G524" i="26"/>
  <c r="K524" i="26"/>
  <c r="C525" i="26"/>
  <c r="E525" i="26"/>
  <c r="G525" i="26"/>
  <c r="K525" i="26"/>
  <c r="C526" i="26"/>
  <c r="E526" i="26"/>
  <c r="G526" i="26"/>
  <c r="K526" i="26"/>
  <c r="C527" i="26"/>
  <c r="E527" i="26"/>
  <c r="G527" i="26"/>
  <c r="K527" i="26"/>
  <c r="C528" i="26"/>
  <c r="E528" i="26"/>
  <c r="G528" i="26"/>
  <c r="K528" i="26"/>
  <c r="C529" i="26"/>
  <c r="E529" i="26"/>
  <c r="G529" i="26"/>
  <c r="K529" i="26"/>
  <c r="C530" i="26"/>
  <c r="E530" i="26"/>
  <c r="G530" i="26"/>
  <c r="K530" i="26"/>
  <c r="C531" i="26"/>
  <c r="E531" i="26"/>
  <c r="G531" i="26"/>
  <c r="K531" i="26"/>
  <c r="C532" i="26"/>
  <c r="E532" i="26"/>
  <c r="G532" i="26"/>
  <c r="K532" i="26"/>
  <c r="C533" i="26"/>
  <c r="E533" i="26"/>
  <c r="G533" i="26"/>
  <c r="K533" i="26"/>
  <c r="C534" i="26"/>
  <c r="E534" i="26"/>
  <c r="G534" i="26"/>
  <c r="K534" i="26"/>
  <c r="C535" i="26"/>
  <c r="E535" i="26"/>
  <c r="G535" i="26"/>
  <c r="K535" i="26"/>
  <c r="C536" i="26"/>
  <c r="E536" i="26"/>
  <c r="G536" i="26"/>
  <c r="K536" i="26"/>
  <c r="C537" i="26"/>
  <c r="E537" i="26"/>
  <c r="G537" i="26"/>
  <c r="K537" i="26"/>
  <c r="C538" i="26"/>
  <c r="E538" i="26"/>
  <c r="G538" i="26"/>
  <c r="K538" i="26"/>
  <c r="C539" i="26"/>
  <c r="E539" i="26"/>
  <c r="G539" i="26"/>
  <c r="K539" i="26"/>
  <c r="K540" i="26"/>
  <c r="C541" i="26"/>
  <c r="E541" i="26"/>
  <c r="G541" i="26"/>
  <c r="K541" i="26"/>
  <c r="C542" i="26"/>
  <c r="E542" i="26"/>
  <c r="G542" i="26"/>
  <c r="K542" i="26"/>
  <c r="C543" i="26"/>
  <c r="E543" i="26"/>
  <c r="G543" i="26"/>
  <c r="K543" i="26"/>
  <c r="C544" i="26"/>
  <c r="E544" i="26"/>
  <c r="G544" i="26"/>
  <c r="K544" i="26"/>
  <c r="C545" i="26"/>
  <c r="E545" i="26"/>
  <c r="G545" i="26"/>
  <c r="K545" i="26"/>
  <c r="C546" i="26"/>
  <c r="E546" i="26"/>
  <c r="G546" i="26"/>
  <c r="K546" i="26"/>
  <c r="C547" i="26"/>
  <c r="E547" i="26"/>
  <c r="G547" i="26"/>
  <c r="K547" i="26"/>
  <c r="C548" i="26"/>
  <c r="E548" i="26"/>
  <c r="G548" i="26"/>
  <c r="K548" i="26"/>
  <c r="C549" i="26"/>
  <c r="E549" i="26"/>
  <c r="G549" i="26"/>
  <c r="K549" i="26"/>
  <c r="C550" i="26"/>
  <c r="E550" i="26"/>
  <c r="G550" i="26"/>
  <c r="K550" i="26"/>
  <c r="C551" i="26"/>
  <c r="E551" i="26"/>
  <c r="G551" i="26"/>
  <c r="K551" i="26"/>
  <c r="C552" i="26"/>
  <c r="E552" i="26"/>
  <c r="G552" i="26"/>
  <c r="K552" i="26"/>
  <c r="C553" i="26"/>
  <c r="E553" i="26"/>
  <c r="G553" i="26"/>
  <c r="K553" i="26"/>
  <c r="C554" i="26"/>
  <c r="E554" i="26"/>
  <c r="G554" i="26"/>
  <c r="K554" i="26"/>
  <c r="C555" i="26"/>
  <c r="E555" i="26"/>
  <c r="G555" i="26"/>
  <c r="K555" i="26"/>
  <c r="C556" i="26"/>
  <c r="E556" i="26"/>
  <c r="G556" i="26"/>
  <c r="K556" i="26"/>
  <c r="C557" i="26"/>
  <c r="E557" i="26"/>
  <c r="G557" i="26"/>
  <c r="K557" i="26"/>
  <c r="C558" i="26"/>
  <c r="E558" i="26"/>
  <c r="G558" i="26"/>
  <c r="K558" i="26"/>
  <c r="K559" i="26"/>
  <c r="C560" i="26"/>
  <c r="E560" i="26"/>
  <c r="G560" i="26"/>
  <c r="K560" i="26"/>
  <c r="C561" i="26"/>
  <c r="E561" i="26"/>
  <c r="G561" i="26"/>
  <c r="K561" i="26"/>
  <c r="C562" i="26"/>
  <c r="E562" i="26"/>
  <c r="G562" i="26"/>
  <c r="K562" i="26"/>
  <c r="C563" i="26"/>
  <c r="E563" i="26"/>
  <c r="G563" i="26"/>
  <c r="K563" i="26"/>
  <c r="C564" i="26"/>
  <c r="E564" i="26"/>
  <c r="G564" i="26"/>
  <c r="K564" i="26"/>
  <c r="C565" i="26"/>
  <c r="E565" i="26"/>
  <c r="G565" i="26"/>
  <c r="K565" i="26"/>
  <c r="C566" i="26"/>
  <c r="E566" i="26"/>
  <c r="G566" i="26"/>
  <c r="K566" i="26"/>
  <c r="C567" i="26"/>
  <c r="E567" i="26"/>
  <c r="G567" i="26"/>
  <c r="K567" i="26"/>
  <c r="C568" i="26"/>
  <c r="E568" i="26"/>
  <c r="G568" i="26"/>
  <c r="K568" i="26"/>
  <c r="C569" i="26"/>
  <c r="E569" i="26"/>
  <c r="G569" i="26"/>
  <c r="K569" i="26"/>
  <c r="C570" i="26"/>
  <c r="E570" i="26"/>
  <c r="G570" i="26"/>
  <c r="K570" i="26"/>
  <c r="C571" i="26"/>
  <c r="E571" i="26"/>
  <c r="G571" i="26"/>
  <c r="K571" i="26"/>
  <c r="C572" i="26"/>
  <c r="E572" i="26"/>
  <c r="G572" i="26"/>
  <c r="K572" i="26"/>
  <c r="C573" i="26"/>
  <c r="E573" i="26"/>
  <c r="G573" i="26"/>
  <c r="K573" i="26"/>
  <c r="C574" i="26"/>
  <c r="E574" i="26"/>
  <c r="G574" i="26"/>
  <c r="K574" i="26"/>
  <c r="C575" i="26"/>
  <c r="E575" i="26"/>
  <c r="G575" i="26"/>
  <c r="K575" i="26"/>
  <c r="C576" i="26"/>
  <c r="E576" i="26"/>
  <c r="G576" i="26"/>
  <c r="K576" i="26"/>
  <c r="C577" i="26"/>
  <c r="E577" i="26"/>
  <c r="G577" i="26"/>
  <c r="K577" i="26"/>
  <c r="C578" i="26"/>
  <c r="E578" i="26"/>
  <c r="G578" i="26"/>
  <c r="K578" i="26"/>
  <c r="C579" i="26"/>
  <c r="E579" i="26"/>
  <c r="G579" i="26"/>
  <c r="K579" i="26"/>
  <c r="C580" i="26"/>
  <c r="E580" i="26"/>
  <c r="G580" i="26"/>
  <c r="K580" i="26"/>
  <c r="C581" i="26"/>
  <c r="E581" i="26"/>
  <c r="G581" i="26"/>
  <c r="K581" i="26"/>
  <c r="C582" i="26"/>
  <c r="E582" i="26"/>
  <c r="G582" i="26"/>
  <c r="K582" i="26"/>
  <c r="C583" i="26"/>
  <c r="E583" i="26"/>
  <c r="G583" i="26"/>
  <c r="K583" i="26"/>
  <c r="C584" i="26"/>
  <c r="E584" i="26"/>
  <c r="G584" i="26"/>
  <c r="K584" i="26"/>
  <c r="C585" i="26"/>
  <c r="E585" i="26"/>
  <c r="G585" i="26"/>
  <c r="K585" i="26"/>
  <c r="C586" i="26"/>
  <c r="E586" i="26"/>
  <c r="G586" i="26"/>
  <c r="K586" i="26"/>
  <c r="C587" i="26"/>
  <c r="E587" i="26"/>
  <c r="G587" i="26"/>
  <c r="K587" i="26"/>
  <c r="C588" i="26"/>
  <c r="E588" i="26"/>
  <c r="G588" i="26"/>
  <c r="K588" i="26"/>
  <c r="C589" i="26"/>
  <c r="E589" i="26"/>
  <c r="G589" i="26"/>
  <c r="K589" i="26"/>
  <c r="C590" i="26"/>
  <c r="E590" i="26"/>
  <c r="G590" i="26"/>
  <c r="K590" i="26"/>
  <c r="K591" i="26"/>
  <c r="C592" i="26"/>
  <c r="E592" i="26"/>
  <c r="G592" i="26"/>
  <c r="K592" i="26"/>
  <c r="K593" i="26"/>
  <c r="C594" i="26"/>
  <c r="E594" i="26"/>
  <c r="G594" i="26"/>
  <c r="K594" i="26"/>
  <c r="C595" i="26"/>
  <c r="E595" i="26"/>
  <c r="G595" i="26"/>
  <c r="K595" i="26"/>
  <c r="C596" i="26"/>
  <c r="E596" i="26"/>
  <c r="G596" i="26"/>
  <c r="K596" i="26"/>
  <c r="C597" i="26"/>
  <c r="E597" i="26"/>
  <c r="G597" i="26"/>
  <c r="K597" i="26"/>
  <c r="C598" i="26"/>
  <c r="E598" i="26"/>
  <c r="G598" i="26"/>
  <c r="K598" i="26"/>
  <c r="C599" i="26"/>
  <c r="E599" i="26"/>
  <c r="G599" i="26"/>
  <c r="K599" i="26"/>
  <c r="C600" i="26"/>
  <c r="E600" i="26"/>
  <c r="G600" i="26"/>
  <c r="K600" i="26"/>
  <c r="C601" i="26"/>
  <c r="E601" i="26"/>
  <c r="G601" i="26"/>
  <c r="K601" i="26"/>
  <c r="C602" i="26"/>
  <c r="E602" i="26"/>
  <c r="G602" i="26"/>
  <c r="K602" i="26"/>
  <c r="C603" i="26"/>
  <c r="E603" i="26"/>
  <c r="G603" i="26"/>
  <c r="K603" i="26"/>
  <c r="C604" i="26"/>
  <c r="E604" i="26"/>
  <c r="G604" i="26"/>
  <c r="K604" i="26"/>
  <c r="C605" i="26"/>
  <c r="E605" i="26"/>
  <c r="G605" i="26"/>
  <c r="K605" i="26"/>
  <c r="C606" i="26"/>
  <c r="E606" i="26"/>
  <c r="G606" i="26"/>
  <c r="K606" i="26"/>
  <c r="C607" i="26"/>
  <c r="E607" i="26"/>
  <c r="G607" i="26"/>
  <c r="K607" i="26"/>
  <c r="C608" i="26"/>
  <c r="E608" i="26"/>
  <c r="G608" i="26"/>
  <c r="K608" i="26"/>
  <c r="C609" i="26"/>
  <c r="E609" i="26"/>
  <c r="G609" i="26"/>
  <c r="K609" i="26"/>
  <c r="C610" i="26"/>
  <c r="E610" i="26"/>
  <c r="G610" i="26"/>
  <c r="K610" i="26"/>
  <c r="C611" i="26"/>
  <c r="E611" i="26"/>
  <c r="G611" i="26"/>
  <c r="K611" i="26"/>
  <c r="C612" i="26"/>
  <c r="E612" i="26"/>
  <c r="G612" i="26"/>
  <c r="K612" i="26"/>
  <c r="C613" i="26"/>
  <c r="E613" i="26"/>
  <c r="G613" i="26"/>
  <c r="K613" i="26"/>
  <c r="C614" i="26"/>
  <c r="E614" i="26"/>
  <c r="G614" i="26"/>
  <c r="K614" i="26"/>
  <c r="C615" i="26"/>
  <c r="E615" i="26"/>
  <c r="G615" i="26"/>
  <c r="K615" i="26"/>
  <c r="C616" i="26"/>
  <c r="E616" i="26"/>
  <c r="G616" i="26"/>
  <c r="K616" i="26"/>
  <c r="C617" i="26"/>
  <c r="E617" i="26"/>
  <c r="G617" i="26"/>
  <c r="K617" i="26"/>
  <c r="C618" i="26"/>
  <c r="E618" i="26"/>
  <c r="G618" i="26"/>
  <c r="K618" i="26"/>
  <c r="C619" i="26"/>
  <c r="E619" i="26"/>
  <c r="G619" i="26"/>
  <c r="K619" i="26"/>
  <c r="C620" i="26"/>
  <c r="E620" i="26"/>
  <c r="G620" i="26"/>
  <c r="K620" i="26"/>
  <c r="C621" i="26"/>
  <c r="E621" i="26"/>
  <c r="G621" i="26"/>
  <c r="K621" i="26"/>
  <c r="C622" i="26"/>
  <c r="E622" i="26"/>
  <c r="G622" i="26"/>
  <c r="K622" i="26"/>
  <c r="C623" i="26"/>
  <c r="E623" i="26"/>
  <c r="G623" i="26"/>
  <c r="K623" i="26"/>
  <c r="C624" i="26"/>
  <c r="E624" i="26"/>
  <c r="G624" i="26"/>
  <c r="K624" i="26"/>
  <c r="C625" i="26"/>
  <c r="E625" i="26"/>
  <c r="G625" i="26"/>
  <c r="K625" i="26"/>
  <c r="C626" i="26"/>
  <c r="E626" i="26"/>
  <c r="G626" i="26"/>
  <c r="K626" i="26"/>
  <c r="C627" i="26"/>
  <c r="E627" i="26"/>
  <c r="G627" i="26"/>
  <c r="K627" i="26"/>
  <c r="C628" i="26"/>
  <c r="E628" i="26"/>
  <c r="G628" i="26"/>
  <c r="K628" i="26"/>
  <c r="C629" i="26"/>
  <c r="E629" i="26"/>
  <c r="G629" i="26"/>
  <c r="K629" i="26"/>
  <c r="K630" i="26"/>
  <c r="K631" i="26"/>
  <c r="C635" i="26"/>
  <c r="E635" i="26"/>
  <c r="G635" i="26"/>
  <c r="K635" i="26"/>
  <c r="C636" i="26"/>
  <c r="E636" i="26"/>
  <c r="G636" i="26"/>
  <c r="K636" i="26"/>
  <c r="C637" i="26"/>
  <c r="E637" i="26"/>
  <c r="G637" i="26"/>
  <c r="K637" i="26"/>
  <c r="C638" i="26"/>
  <c r="E638" i="26"/>
  <c r="G638" i="26"/>
  <c r="K638" i="26"/>
  <c r="C639" i="26"/>
  <c r="E639" i="26"/>
  <c r="G639" i="26"/>
  <c r="K639" i="26"/>
  <c r="C640" i="26"/>
  <c r="E640" i="26"/>
  <c r="G640" i="26"/>
  <c r="K640" i="26"/>
  <c r="C641" i="26"/>
  <c r="E641" i="26"/>
  <c r="G641" i="26"/>
  <c r="K641" i="26"/>
  <c r="C642" i="26"/>
  <c r="E642" i="26"/>
  <c r="G642" i="26"/>
  <c r="K642" i="26"/>
  <c r="C643" i="26"/>
  <c r="E643" i="26"/>
  <c r="G643" i="26"/>
  <c r="K643" i="26"/>
  <c r="C644" i="26"/>
  <c r="E644" i="26"/>
  <c r="G644" i="26"/>
  <c r="K644" i="26"/>
  <c r="C645" i="26"/>
  <c r="E645" i="26"/>
  <c r="G645" i="26"/>
  <c r="K645" i="26"/>
  <c r="C646" i="26"/>
  <c r="E646" i="26"/>
  <c r="G646" i="26"/>
  <c r="K646" i="26"/>
  <c r="C647" i="26"/>
  <c r="E647" i="26"/>
  <c r="G647" i="26"/>
  <c r="K647" i="26"/>
  <c r="C648" i="26"/>
  <c r="E648" i="26"/>
  <c r="G648" i="26"/>
  <c r="K648" i="26"/>
  <c r="C649" i="26"/>
  <c r="E649" i="26"/>
  <c r="G649" i="26"/>
  <c r="K649" i="26"/>
  <c r="C650" i="26"/>
  <c r="E650" i="26"/>
  <c r="G650" i="26"/>
  <c r="K650" i="26"/>
  <c r="C651" i="26"/>
  <c r="E651" i="26"/>
  <c r="G651" i="26"/>
  <c r="K651" i="26"/>
  <c r="C652" i="26"/>
  <c r="E652" i="26"/>
  <c r="G652" i="26"/>
  <c r="K652" i="26"/>
  <c r="C653" i="26"/>
  <c r="E653" i="26"/>
  <c r="G653" i="26"/>
  <c r="K653" i="26"/>
  <c r="C654" i="26"/>
  <c r="E654" i="26"/>
  <c r="G654" i="26"/>
  <c r="K654" i="26"/>
  <c r="C655" i="26"/>
  <c r="E655" i="26"/>
  <c r="G655" i="26"/>
  <c r="K655" i="26"/>
  <c r="C656" i="26"/>
  <c r="E656" i="26"/>
  <c r="G656" i="26"/>
  <c r="K656" i="26"/>
  <c r="C657" i="26"/>
  <c r="E657" i="26"/>
  <c r="G657" i="26"/>
  <c r="K657" i="26"/>
  <c r="C658" i="26"/>
  <c r="E658" i="26"/>
  <c r="G658" i="26"/>
  <c r="K658" i="26"/>
  <c r="C659" i="26"/>
  <c r="E659" i="26"/>
  <c r="G659" i="26"/>
  <c r="K659" i="26"/>
  <c r="C660" i="26"/>
  <c r="E660" i="26"/>
  <c r="G660" i="26"/>
  <c r="K660" i="26"/>
  <c r="C661" i="26"/>
  <c r="E661" i="26"/>
  <c r="G661" i="26"/>
  <c r="K661" i="26"/>
  <c r="C662" i="26"/>
  <c r="E662" i="26"/>
  <c r="G662" i="26"/>
  <c r="K662" i="26"/>
  <c r="C663" i="26"/>
  <c r="E663" i="26"/>
  <c r="G663" i="26"/>
  <c r="K663" i="26"/>
  <c r="C664" i="26"/>
  <c r="E664" i="26"/>
  <c r="G664" i="26"/>
  <c r="K664" i="26"/>
  <c r="C665" i="26"/>
  <c r="E665" i="26"/>
  <c r="G665" i="26"/>
  <c r="K665" i="26"/>
  <c r="C666" i="26"/>
  <c r="E666" i="26"/>
  <c r="G666" i="26"/>
  <c r="K666" i="26"/>
  <c r="C667" i="26"/>
  <c r="E667" i="26"/>
  <c r="G667" i="26"/>
  <c r="K667" i="26"/>
  <c r="C668" i="26"/>
  <c r="E668" i="26"/>
  <c r="G668" i="26"/>
  <c r="K668" i="26"/>
  <c r="C669" i="26"/>
  <c r="E669" i="26"/>
  <c r="G669" i="26"/>
  <c r="K669" i="26"/>
  <c r="C670" i="26"/>
  <c r="E670" i="26"/>
  <c r="G670" i="26"/>
  <c r="K670" i="26"/>
  <c r="C671" i="26"/>
  <c r="E671" i="26"/>
  <c r="G671" i="26"/>
  <c r="K671" i="26"/>
  <c r="C672" i="26"/>
  <c r="E672" i="26"/>
  <c r="G672" i="26"/>
  <c r="K672" i="26"/>
  <c r="C673" i="26"/>
  <c r="E673" i="26"/>
  <c r="G673" i="26"/>
  <c r="K673" i="26"/>
  <c r="C674" i="26"/>
  <c r="E674" i="26"/>
  <c r="G674" i="26"/>
  <c r="K674" i="26"/>
  <c r="C675" i="26"/>
  <c r="E675" i="26"/>
  <c r="G675" i="26"/>
  <c r="K675" i="26"/>
  <c r="C676" i="26"/>
  <c r="E676" i="26"/>
  <c r="G676" i="26"/>
  <c r="K676" i="26"/>
  <c r="C677" i="26"/>
  <c r="E677" i="26"/>
  <c r="G677" i="26"/>
  <c r="K677" i="26"/>
  <c r="C678" i="26"/>
  <c r="E678" i="26"/>
  <c r="G678" i="26"/>
  <c r="K678" i="26"/>
  <c r="K679" i="26"/>
  <c r="C680" i="26"/>
  <c r="E680" i="26"/>
  <c r="G680" i="26"/>
  <c r="K680" i="26"/>
  <c r="C682" i="26"/>
  <c r="E682" i="26"/>
  <c r="G682" i="26"/>
  <c r="K682" i="26"/>
  <c r="C683" i="26"/>
  <c r="E683" i="26"/>
  <c r="G683" i="26"/>
  <c r="K683" i="26"/>
  <c r="C684" i="26"/>
  <c r="E684" i="26"/>
  <c r="G684" i="26"/>
  <c r="K684" i="26"/>
  <c r="C685" i="26"/>
  <c r="E685" i="26"/>
  <c r="G685" i="26"/>
  <c r="K685" i="26"/>
  <c r="C686" i="26"/>
  <c r="E686" i="26"/>
  <c r="G686" i="26"/>
  <c r="K686" i="26"/>
  <c r="C687" i="26"/>
  <c r="E687" i="26"/>
  <c r="G687" i="26"/>
  <c r="K687" i="26"/>
  <c r="C688" i="26"/>
  <c r="E688" i="26"/>
  <c r="G688" i="26"/>
  <c r="K688" i="26"/>
  <c r="C689" i="26"/>
  <c r="E689" i="26"/>
  <c r="G689" i="26"/>
  <c r="K689" i="26"/>
  <c r="C690" i="26"/>
  <c r="E690" i="26"/>
  <c r="G690" i="26"/>
  <c r="K690" i="26"/>
  <c r="C691" i="26"/>
  <c r="E691" i="26"/>
  <c r="G691" i="26"/>
  <c r="K691" i="26"/>
  <c r="C692" i="26"/>
  <c r="E692" i="26"/>
  <c r="G692" i="26"/>
  <c r="K692" i="26"/>
  <c r="C693" i="26"/>
  <c r="E693" i="26"/>
  <c r="G693" i="26"/>
  <c r="K693" i="26"/>
  <c r="C694" i="26"/>
  <c r="E694" i="26"/>
  <c r="G694" i="26"/>
  <c r="K694" i="26"/>
  <c r="C695" i="26"/>
  <c r="E695" i="26"/>
  <c r="G695" i="26"/>
  <c r="K695" i="26"/>
  <c r="C696" i="26"/>
  <c r="E696" i="26"/>
  <c r="G696" i="26"/>
  <c r="K696" i="26"/>
  <c r="C697" i="26"/>
  <c r="E697" i="26"/>
  <c r="G697" i="26"/>
  <c r="K697" i="26"/>
  <c r="C699" i="26"/>
  <c r="E699" i="26"/>
  <c r="G699" i="26"/>
  <c r="K699" i="26"/>
  <c r="C700" i="26"/>
  <c r="E700" i="26"/>
  <c r="G700" i="26"/>
  <c r="K700" i="26"/>
  <c r="C701" i="26"/>
  <c r="E701" i="26"/>
  <c r="G701" i="26"/>
  <c r="K701" i="26"/>
  <c r="C702" i="26"/>
  <c r="E702" i="26"/>
  <c r="G702" i="26"/>
  <c r="K702" i="26"/>
  <c r="C703" i="26"/>
  <c r="E703" i="26"/>
  <c r="G703" i="26"/>
  <c r="K703" i="26"/>
  <c r="C704" i="26"/>
  <c r="E704" i="26"/>
  <c r="G704" i="26"/>
  <c r="K704" i="26"/>
  <c r="C705" i="26"/>
  <c r="E705" i="26"/>
  <c r="G705" i="26"/>
  <c r="K705" i="26"/>
  <c r="C706" i="26"/>
  <c r="E706" i="26"/>
  <c r="G706" i="26"/>
  <c r="K706" i="26"/>
  <c r="K707" i="26"/>
  <c r="C708" i="26"/>
  <c r="E708" i="26"/>
  <c r="G708" i="26"/>
  <c r="K708" i="26"/>
  <c r="C709" i="26"/>
  <c r="E709" i="26"/>
  <c r="G709" i="26"/>
  <c r="K709" i="26"/>
  <c r="C710" i="26"/>
  <c r="E710" i="26"/>
  <c r="G710" i="26"/>
  <c r="K710" i="26"/>
  <c r="C711" i="26"/>
  <c r="E711" i="26"/>
  <c r="G711" i="26"/>
  <c r="K711" i="26"/>
  <c r="C712" i="26"/>
  <c r="E712" i="26"/>
  <c r="G712" i="26"/>
  <c r="K712" i="26"/>
  <c r="C713" i="26"/>
  <c r="E713" i="26"/>
  <c r="G713" i="26"/>
  <c r="K713" i="26"/>
  <c r="C714" i="26"/>
  <c r="E714" i="26"/>
  <c r="G714" i="26"/>
  <c r="K714" i="26"/>
  <c r="C715" i="26"/>
  <c r="E715" i="26"/>
  <c r="G715" i="26"/>
  <c r="K715" i="26"/>
  <c r="C716" i="26"/>
  <c r="E716" i="26"/>
  <c r="G716" i="26"/>
  <c r="K716" i="26"/>
  <c r="C717" i="26"/>
  <c r="E717" i="26"/>
  <c r="G717" i="26"/>
  <c r="K717" i="26"/>
  <c r="C718" i="26"/>
  <c r="E718" i="26"/>
  <c r="G718" i="26"/>
  <c r="K718" i="26"/>
  <c r="C719" i="26"/>
  <c r="E719" i="26"/>
  <c r="G719" i="26"/>
  <c r="K719" i="26"/>
  <c r="K720" i="26"/>
  <c r="K721" i="26"/>
  <c r="K722" i="26"/>
  <c r="C723" i="26"/>
  <c r="D723" i="26" s="1"/>
  <c r="F108" i="5" s="1"/>
  <c r="E723" i="26"/>
  <c r="F723" i="26" s="1"/>
  <c r="G108" i="5" s="1"/>
  <c r="G723" i="26"/>
  <c r="H723" i="26" s="1"/>
  <c r="H108" i="5" s="1"/>
  <c r="K723" i="26"/>
  <c r="K724" i="26"/>
  <c r="C725" i="26"/>
  <c r="D725" i="26" s="1"/>
  <c r="F109" i="5" s="1"/>
  <c r="E725" i="26"/>
  <c r="F725" i="26" s="1"/>
  <c r="G109" i="5" s="1"/>
  <c r="G725" i="26"/>
  <c r="H725" i="26" s="1"/>
  <c r="H109" i="5" s="1"/>
  <c r="K725" i="26"/>
  <c r="K726" i="26"/>
  <c r="C727" i="26"/>
  <c r="E727" i="26"/>
  <c r="G727" i="26"/>
  <c r="K727" i="26"/>
  <c r="C728" i="26"/>
  <c r="E728" i="26"/>
  <c r="G728" i="26"/>
  <c r="K728" i="26"/>
  <c r="C729" i="26"/>
  <c r="E729" i="26"/>
  <c r="G729" i="26"/>
  <c r="K729" i="26"/>
  <c r="C730" i="26"/>
  <c r="E730" i="26"/>
  <c r="G730" i="26"/>
  <c r="K730" i="26"/>
  <c r="C731" i="26"/>
  <c r="E731" i="26"/>
  <c r="G731" i="26"/>
  <c r="K731" i="26"/>
  <c r="K732" i="26"/>
  <c r="C733" i="26"/>
  <c r="E733" i="26"/>
  <c r="G733" i="26"/>
  <c r="K733" i="26"/>
  <c r="C734" i="26"/>
  <c r="E734" i="26"/>
  <c r="G734" i="26"/>
  <c r="K734" i="26"/>
  <c r="C735" i="26"/>
  <c r="E735" i="26"/>
  <c r="G735" i="26"/>
  <c r="K735" i="26"/>
  <c r="C736" i="26"/>
  <c r="E736" i="26"/>
  <c r="G736" i="26"/>
  <c r="K736" i="26"/>
  <c r="C737" i="26"/>
  <c r="E737" i="26"/>
  <c r="G737" i="26"/>
  <c r="K737" i="26"/>
  <c r="C739" i="26"/>
  <c r="E739" i="26"/>
  <c r="G739" i="26"/>
  <c r="K739" i="26"/>
  <c r="C740" i="26"/>
  <c r="E740" i="26"/>
  <c r="G740" i="26"/>
  <c r="K740" i="26"/>
  <c r="K741" i="26"/>
  <c r="K742" i="26"/>
  <c r="C743" i="26"/>
  <c r="D743" i="26" s="1"/>
  <c r="E743" i="26"/>
  <c r="F743" i="26" s="1"/>
  <c r="G743" i="26"/>
  <c r="H743" i="26" s="1"/>
  <c r="K743" i="26"/>
  <c r="K744" i="26"/>
  <c r="K745" i="26"/>
  <c r="C746" i="26"/>
  <c r="E746" i="26"/>
  <c r="G746" i="26"/>
  <c r="K746" i="26"/>
  <c r="C747" i="26"/>
  <c r="E747" i="26"/>
  <c r="G747" i="26"/>
  <c r="K747" i="26"/>
  <c r="C748" i="26"/>
  <c r="E748" i="26"/>
  <c r="G748" i="26"/>
  <c r="K748" i="26"/>
  <c r="C749" i="26"/>
  <c r="E749" i="26"/>
  <c r="G749" i="26"/>
  <c r="K749" i="26"/>
  <c r="K750" i="26"/>
  <c r="C751" i="26"/>
  <c r="E751" i="26"/>
  <c r="G751" i="26"/>
  <c r="K751" i="26"/>
  <c r="C752" i="26"/>
  <c r="E752" i="26"/>
  <c r="G752" i="26"/>
  <c r="K752" i="26"/>
  <c r="K753" i="26"/>
  <c r="C754" i="26"/>
  <c r="E754" i="26"/>
  <c r="G754" i="26"/>
  <c r="K754" i="26"/>
  <c r="C756" i="26"/>
  <c r="E756" i="26"/>
  <c r="G756" i="26"/>
  <c r="K756" i="26"/>
  <c r="C757" i="26"/>
  <c r="E757" i="26"/>
  <c r="G757" i="26"/>
  <c r="K757" i="26"/>
  <c r="C758" i="26"/>
  <c r="E758" i="26"/>
  <c r="G758" i="26"/>
  <c r="K758" i="26"/>
  <c r="C759" i="26"/>
  <c r="E759" i="26"/>
  <c r="G759" i="26"/>
  <c r="K759" i="26"/>
  <c r="C760" i="26"/>
  <c r="E760" i="26"/>
  <c r="G760" i="26"/>
  <c r="K760" i="26"/>
  <c r="C761" i="26"/>
  <c r="E761" i="26"/>
  <c r="G761" i="26"/>
  <c r="K761" i="26"/>
  <c r="C762" i="26"/>
  <c r="E762" i="26"/>
  <c r="G762" i="26"/>
  <c r="K762" i="26"/>
  <c r="C763" i="26"/>
  <c r="E763" i="26"/>
  <c r="G763" i="26"/>
  <c r="K763" i="26"/>
  <c r="C764" i="26"/>
  <c r="E764" i="26"/>
  <c r="G764" i="26"/>
  <c r="K764" i="26"/>
  <c r="C765" i="26"/>
  <c r="E765" i="26"/>
  <c r="G765" i="26"/>
  <c r="K765" i="26"/>
  <c r="C766" i="26"/>
  <c r="E766" i="26"/>
  <c r="G766" i="26"/>
  <c r="K766" i="26"/>
  <c r="C767" i="26"/>
  <c r="E767" i="26"/>
  <c r="G767" i="26"/>
  <c r="K767" i="26"/>
  <c r="C768" i="26"/>
  <c r="E768" i="26"/>
  <c r="G768" i="26"/>
  <c r="K768" i="26"/>
  <c r="C769" i="26"/>
  <c r="E769" i="26"/>
  <c r="G769" i="26"/>
  <c r="K769" i="26"/>
  <c r="C770" i="26"/>
  <c r="E770" i="26"/>
  <c r="G770" i="26"/>
  <c r="K770" i="26"/>
  <c r="C771" i="26"/>
  <c r="E771" i="26"/>
  <c r="G771" i="26"/>
  <c r="K771" i="26"/>
  <c r="C772" i="26"/>
  <c r="E772" i="26"/>
  <c r="G772" i="26"/>
  <c r="K772" i="26"/>
  <c r="C773" i="26"/>
  <c r="E773" i="26"/>
  <c r="G773" i="26"/>
  <c r="K773" i="26"/>
  <c r="C774" i="26"/>
  <c r="E774" i="26"/>
  <c r="G774" i="26"/>
  <c r="K774" i="26"/>
  <c r="C775" i="26"/>
  <c r="E775" i="26"/>
  <c r="G775" i="26"/>
  <c r="K775" i="26"/>
  <c r="C776" i="26"/>
  <c r="E776" i="26"/>
  <c r="G776" i="26"/>
  <c r="K776" i="26"/>
  <c r="C777" i="26"/>
  <c r="E777" i="26"/>
  <c r="G777" i="26"/>
  <c r="K777" i="26"/>
  <c r="C778" i="26"/>
  <c r="E778" i="26"/>
  <c r="G778" i="26"/>
  <c r="K778" i="26"/>
  <c r="C779" i="26"/>
  <c r="E779" i="26"/>
  <c r="G779" i="26"/>
  <c r="K779" i="26"/>
  <c r="C780" i="26"/>
  <c r="E780" i="26"/>
  <c r="G780" i="26"/>
  <c r="K780" i="26"/>
  <c r="C781" i="26"/>
  <c r="E781" i="26"/>
  <c r="G781" i="26"/>
  <c r="K781" i="26"/>
  <c r="C782" i="26"/>
  <c r="E782" i="26"/>
  <c r="G782" i="26"/>
  <c r="K782" i="26"/>
  <c r="C783" i="26"/>
  <c r="E783" i="26"/>
  <c r="G783" i="26"/>
  <c r="K783" i="26"/>
  <c r="C784" i="26"/>
  <c r="E784" i="26"/>
  <c r="G784" i="26"/>
  <c r="K784" i="26"/>
  <c r="C785" i="26"/>
  <c r="E785" i="26"/>
  <c r="G785" i="26"/>
  <c r="K785" i="26"/>
  <c r="C786" i="26"/>
  <c r="E786" i="26"/>
  <c r="G786" i="26"/>
  <c r="K786" i="26"/>
  <c r="C787" i="26"/>
  <c r="E787" i="26"/>
  <c r="G787" i="26"/>
  <c r="K787" i="26"/>
  <c r="C788" i="26"/>
  <c r="E788" i="26"/>
  <c r="G788" i="26"/>
  <c r="K788" i="26"/>
  <c r="C789" i="26"/>
  <c r="E789" i="26"/>
  <c r="G789" i="26"/>
  <c r="K789" i="26"/>
  <c r="C790" i="26"/>
  <c r="E790" i="26"/>
  <c r="G790" i="26"/>
  <c r="K790" i="26"/>
  <c r="C791" i="26"/>
  <c r="E791" i="26"/>
  <c r="G791" i="26"/>
  <c r="K791" i="26"/>
  <c r="C792" i="26"/>
  <c r="E792" i="26"/>
  <c r="G792" i="26"/>
  <c r="K792" i="26"/>
  <c r="C793" i="26"/>
  <c r="E793" i="26"/>
  <c r="G793" i="26"/>
  <c r="K793" i="26"/>
  <c r="C794" i="26"/>
  <c r="E794" i="26"/>
  <c r="G794" i="26"/>
  <c r="K794" i="26"/>
  <c r="C795" i="26"/>
  <c r="E795" i="26"/>
  <c r="G795" i="26"/>
  <c r="K795" i="26"/>
  <c r="C796" i="26"/>
  <c r="E796" i="26"/>
  <c r="G796" i="26"/>
  <c r="K796" i="26"/>
  <c r="C797" i="26"/>
  <c r="E797" i="26"/>
  <c r="G797" i="26"/>
  <c r="K797" i="26"/>
  <c r="C798" i="26"/>
  <c r="E798" i="26"/>
  <c r="G798" i="26"/>
  <c r="K798" i="26"/>
  <c r="C799" i="26"/>
  <c r="E799" i="26"/>
  <c r="G799" i="26"/>
  <c r="K799" i="26"/>
  <c r="C800" i="26"/>
  <c r="E800" i="26"/>
  <c r="G800" i="26"/>
  <c r="K800" i="26"/>
  <c r="C802" i="26"/>
  <c r="E802" i="26"/>
  <c r="G802" i="26"/>
  <c r="K802" i="26"/>
  <c r="K803" i="26"/>
  <c r="K804" i="26"/>
  <c r="C805" i="26"/>
  <c r="E805" i="26"/>
  <c r="G805" i="26"/>
  <c r="K805" i="26"/>
  <c r="C806" i="26"/>
  <c r="E806" i="26"/>
  <c r="G806" i="26"/>
  <c r="K806" i="26"/>
  <c r="C807" i="26"/>
  <c r="E807" i="26"/>
  <c r="G807" i="26"/>
  <c r="K807" i="26"/>
  <c r="C808" i="26"/>
  <c r="E808" i="26"/>
  <c r="G808" i="26"/>
  <c r="K808" i="26"/>
  <c r="C809" i="26"/>
  <c r="E809" i="26"/>
  <c r="G809" i="26"/>
  <c r="K809" i="26"/>
  <c r="C810" i="26"/>
  <c r="E810" i="26"/>
  <c r="G810" i="26"/>
  <c r="K810" i="26"/>
  <c r="C811" i="26"/>
  <c r="E811" i="26"/>
  <c r="G811" i="26"/>
  <c r="K811" i="26"/>
  <c r="C812" i="26"/>
  <c r="E812" i="26"/>
  <c r="G812" i="26"/>
  <c r="K812" i="26"/>
  <c r="C813" i="26"/>
  <c r="E813" i="26"/>
  <c r="G813" i="26"/>
  <c r="K813" i="26"/>
  <c r="C814" i="26"/>
  <c r="E814" i="26"/>
  <c r="G814" i="26"/>
  <c r="K814" i="26"/>
  <c r="C815" i="26"/>
  <c r="E815" i="26"/>
  <c r="G815" i="26"/>
  <c r="K815" i="26"/>
  <c r="C816" i="26"/>
  <c r="E816" i="26"/>
  <c r="G816" i="26"/>
  <c r="K816" i="26"/>
  <c r="C817" i="26"/>
  <c r="E817" i="26"/>
  <c r="G817" i="26"/>
  <c r="K817" i="26"/>
  <c r="K818" i="26"/>
  <c r="C819" i="26"/>
  <c r="E819" i="26"/>
  <c r="G819" i="26"/>
  <c r="K819" i="26"/>
  <c r="C820" i="26"/>
  <c r="E820" i="26"/>
  <c r="G820" i="26"/>
  <c r="K820" i="26"/>
  <c r="C821" i="26"/>
  <c r="E821" i="26"/>
  <c r="G821" i="26"/>
  <c r="K821" i="26"/>
  <c r="K822" i="26"/>
  <c r="C823" i="26"/>
  <c r="E823" i="26"/>
  <c r="G823" i="26"/>
  <c r="K823" i="26"/>
  <c r="C824" i="26"/>
  <c r="E824" i="26"/>
  <c r="G824" i="26"/>
  <c r="K824" i="26"/>
  <c r="C825" i="26"/>
  <c r="E825" i="26"/>
  <c r="G825" i="26"/>
  <c r="K825" i="26"/>
  <c r="K826" i="26"/>
  <c r="K827" i="26"/>
  <c r="K828" i="26"/>
  <c r="C829" i="26"/>
  <c r="E829" i="26"/>
  <c r="G829" i="26"/>
  <c r="K829" i="26"/>
  <c r="C830" i="26"/>
  <c r="E830" i="26"/>
  <c r="G830" i="26"/>
  <c r="K830" i="26"/>
  <c r="C831" i="26"/>
  <c r="E831" i="26"/>
  <c r="G831" i="26"/>
  <c r="K831" i="26"/>
  <c r="C832" i="26"/>
  <c r="E832" i="26"/>
  <c r="G832" i="26"/>
  <c r="K832" i="26"/>
  <c r="C833" i="26"/>
  <c r="E833" i="26"/>
  <c r="G833" i="26"/>
  <c r="K833" i="26"/>
  <c r="C834" i="26"/>
  <c r="E834" i="26"/>
  <c r="G834" i="26"/>
  <c r="K834" i="26"/>
  <c r="K835" i="26"/>
  <c r="C836" i="26"/>
  <c r="D836" i="26" s="1"/>
  <c r="E836" i="26"/>
  <c r="F836" i="26" s="1"/>
  <c r="G128" i="5" s="1"/>
  <c r="G836" i="26"/>
  <c r="H836" i="26" s="1"/>
  <c r="H128" i="5" s="1"/>
  <c r="K836" i="26"/>
  <c r="K837" i="26"/>
  <c r="C838" i="26"/>
  <c r="E838" i="26"/>
  <c r="G838" i="26"/>
  <c r="K838" i="26"/>
  <c r="C839" i="26"/>
  <c r="E839" i="26"/>
  <c r="G839" i="26"/>
  <c r="K839" i="26"/>
  <c r="C840" i="26"/>
  <c r="E840" i="26"/>
  <c r="G840" i="26"/>
  <c r="K840" i="26"/>
  <c r="K841" i="26"/>
  <c r="C842" i="26"/>
  <c r="E842" i="26"/>
  <c r="G842" i="26"/>
  <c r="K842" i="26"/>
  <c r="C843" i="26"/>
  <c r="E843" i="26"/>
  <c r="G843" i="26"/>
  <c r="K843" i="26"/>
  <c r="C844" i="26"/>
  <c r="E844" i="26"/>
  <c r="G844" i="26"/>
  <c r="K844" i="26"/>
  <c r="K845" i="26"/>
  <c r="C846" i="26"/>
  <c r="E846" i="26"/>
  <c r="G846" i="26"/>
  <c r="K846" i="26"/>
  <c r="C847" i="26"/>
  <c r="E847" i="26"/>
  <c r="G847" i="26"/>
  <c r="K847" i="26"/>
  <c r="C848" i="26"/>
  <c r="E848" i="26"/>
  <c r="G848" i="26"/>
  <c r="K848" i="26"/>
  <c r="K849" i="26"/>
  <c r="C850" i="26"/>
  <c r="E850" i="26"/>
  <c r="G850" i="26"/>
  <c r="K850" i="26"/>
  <c r="C851" i="26"/>
  <c r="E851" i="26"/>
  <c r="G851" i="26"/>
  <c r="K851" i="26"/>
  <c r="C852" i="26"/>
  <c r="E852" i="26"/>
  <c r="G852" i="26"/>
  <c r="K852" i="26"/>
  <c r="C853" i="26"/>
  <c r="E853" i="26"/>
  <c r="G853" i="26"/>
  <c r="K853" i="26"/>
  <c r="C854" i="26"/>
  <c r="E854" i="26"/>
  <c r="G854" i="26"/>
  <c r="K854" i="26"/>
  <c r="C856" i="26"/>
  <c r="E856" i="26"/>
  <c r="G856" i="26"/>
  <c r="K856" i="26"/>
  <c r="K857" i="26"/>
  <c r="K858" i="26"/>
  <c r="C859" i="26"/>
  <c r="D859" i="26" s="1"/>
  <c r="F133" i="5" s="1"/>
  <c r="E859" i="26"/>
  <c r="F859" i="26" s="1"/>
  <c r="G133" i="5" s="1"/>
  <c r="G859" i="26"/>
  <c r="H859" i="26" s="1"/>
  <c r="H133" i="5" s="1"/>
  <c r="K859" i="26"/>
  <c r="K860" i="26"/>
  <c r="C861" i="26"/>
  <c r="D861" i="26" s="1"/>
  <c r="F134" i="5" s="1"/>
  <c r="E861" i="26"/>
  <c r="F861" i="26" s="1"/>
  <c r="G134" i="5" s="1"/>
  <c r="G861" i="26"/>
  <c r="H861" i="26" s="1"/>
  <c r="H134" i="5" s="1"/>
  <c r="K861" i="26"/>
  <c r="K862" i="26"/>
  <c r="C863" i="26"/>
  <c r="E863" i="26"/>
  <c r="G863" i="26"/>
  <c r="K863" i="26"/>
  <c r="C864" i="26"/>
  <c r="E864" i="26"/>
  <c r="G864" i="26"/>
  <c r="K864" i="26"/>
  <c r="C865" i="26"/>
  <c r="E865" i="26"/>
  <c r="G865" i="26"/>
  <c r="K865" i="26"/>
  <c r="K866" i="26"/>
  <c r="C867" i="26"/>
  <c r="E867" i="26"/>
  <c r="G867" i="26"/>
  <c r="K867" i="26"/>
  <c r="C868" i="26"/>
  <c r="E868" i="26"/>
  <c r="G868" i="26"/>
  <c r="K868" i="26"/>
  <c r="C869" i="26"/>
  <c r="E869" i="26"/>
  <c r="G869" i="26"/>
  <c r="K869" i="26"/>
  <c r="C870" i="26"/>
  <c r="E870" i="26"/>
  <c r="G870" i="26"/>
  <c r="K870" i="26"/>
  <c r="C871" i="26"/>
  <c r="E871" i="26"/>
  <c r="G871" i="26"/>
  <c r="K871" i="26"/>
  <c r="C872" i="26"/>
  <c r="E872" i="26"/>
  <c r="G872" i="26"/>
  <c r="K872" i="26"/>
  <c r="C873" i="26"/>
  <c r="E873" i="26"/>
  <c r="G873" i="26"/>
  <c r="K873" i="26"/>
  <c r="C874" i="26"/>
  <c r="E874" i="26"/>
  <c r="G874" i="26"/>
  <c r="K874" i="26"/>
  <c r="C875" i="26"/>
  <c r="E875" i="26"/>
  <c r="G875" i="26"/>
  <c r="K875" i="26"/>
  <c r="C876" i="26"/>
  <c r="E876" i="26"/>
  <c r="G876" i="26"/>
  <c r="K876" i="26"/>
  <c r="C877" i="26"/>
  <c r="E877" i="26"/>
  <c r="G877" i="26"/>
  <c r="K877" i="26"/>
  <c r="C878" i="26"/>
  <c r="E878" i="26"/>
  <c r="G878" i="26"/>
  <c r="K878" i="26"/>
  <c r="C879" i="26"/>
  <c r="E879" i="26"/>
  <c r="G879" i="26"/>
  <c r="K879" i="26"/>
  <c r="C880" i="26"/>
  <c r="E880" i="26"/>
  <c r="G880" i="26"/>
  <c r="K880" i="26"/>
  <c r="C881" i="26"/>
  <c r="E881" i="26"/>
  <c r="G881" i="26"/>
  <c r="K881" i="26"/>
  <c r="C882" i="26"/>
  <c r="E882" i="26"/>
  <c r="G882" i="26"/>
  <c r="K882" i="26"/>
  <c r="C883" i="26"/>
  <c r="E883" i="26"/>
  <c r="G883" i="26"/>
  <c r="K883" i="26"/>
  <c r="K884" i="26"/>
  <c r="K885" i="26"/>
  <c r="C886" i="26"/>
  <c r="D886" i="26" s="1"/>
  <c r="C22" i="1" s="1"/>
  <c r="E886" i="26"/>
  <c r="F886" i="26" s="1"/>
  <c r="D22" i="1" s="1"/>
  <c r="G886" i="26"/>
  <c r="H886" i="26" s="1"/>
  <c r="E22" i="1" s="1"/>
  <c r="K886" i="26"/>
  <c r="C887" i="26"/>
  <c r="D887" i="26" s="1"/>
  <c r="C23" i="1" s="1"/>
  <c r="E887" i="26"/>
  <c r="F887" i="26" s="1"/>
  <c r="D23" i="1" s="1"/>
  <c r="G887" i="26"/>
  <c r="H887" i="26" s="1"/>
  <c r="K887" i="26"/>
  <c r="C888" i="26"/>
  <c r="D888" i="26" s="1"/>
  <c r="C13" i="1" s="1"/>
  <c r="K888" i="26"/>
  <c r="K889" i="26"/>
  <c r="C890" i="26"/>
  <c r="D890" i="26" s="1"/>
  <c r="C21" i="1" s="1"/>
  <c r="D14" i="20" s="1"/>
  <c r="D17" i="20" s="1"/>
  <c r="D36" i="20" s="1"/>
  <c r="G43" i="20" s="1"/>
  <c r="E890" i="26"/>
  <c r="F890" i="26" s="1"/>
  <c r="D21" i="1" s="1"/>
  <c r="G890" i="26"/>
  <c r="H890" i="26" s="1"/>
  <c r="E21" i="1" s="1"/>
  <c r="K890" i="26"/>
  <c r="K891" i="26"/>
  <c r="K892" i="26"/>
  <c r="C633" i="26"/>
  <c r="E633" i="26"/>
  <c r="G633" i="26"/>
  <c r="K633" i="26"/>
  <c r="C893" i="26"/>
  <c r="E893" i="26"/>
  <c r="G893" i="26"/>
  <c r="K893" i="26"/>
  <c r="C894" i="26"/>
  <c r="E894" i="26"/>
  <c r="G894" i="26"/>
  <c r="K894" i="26"/>
  <c r="C895" i="26"/>
  <c r="E895" i="26"/>
  <c r="G895" i="26"/>
  <c r="K895" i="26"/>
  <c r="C896" i="26"/>
  <c r="E896" i="26"/>
  <c r="G896" i="26"/>
  <c r="K896" i="26"/>
  <c r="C755" i="26"/>
  <c r="E755" i="26"/>
  <c r="G755" i="26"/>
  <c r="K755" i="26"/>
  <c r="C897" i="26"/>
  <c r="E897" i="26"/>
  <c r="G897" i="26"/>
  <c r="K897" i="26"/>
  <c r="C898" i="26"/>
  <c r="E898" i="26"/>
  <c r="G898" i="26"/>
  <c r="K898" i="26"/>
  <c r="C218" i="26"/>
  <c r="E218" i="26"/>
  <c r="G218" i="26"/>
  <c r="K218" i="26"/>
  <c r="C899" i="26"/>
  <c r="E899" i="26"/>
  <c r="G899" i="26"/>
  <c r="K899" i="26"/>
  <c r="C634" i="26"/>
  <c r="E634" i="26"/>
  <c r="G634" i="26"/>
  <c r="K634" i="26"/>
  <c r="C900" i="26"/>
  <c r="E900" i="26"/>
  <c r="G900" i="26"/>
  <c r="K900" i="26"/>
  <c r="C901" i="26"/>
  <c r="E901" i="26"/>
  <c r="G901" i="26"/>
  <c r="K901" i="26"/>
  <c r="C902" i="26"/>
  <c r="E902" i="26"/>
  <c r="G902" i="26"/>
  <c r="K902" i="26"/>
  <c r="C903" i="26"/>
  <c r="E903" i="26"/>
  <c r="G903" i="26"/>
  <c r="K903" i="26"/>
  <c r="C904" i="26"/>
  <c r="E904" i="26"/>
  <c r="G904" i="26"/>
  <c r="K904" i="26"/>
  <c r="C905" i="26"/>
  <c r="E905" i="26"/>
  <c r="G905" i="26"/>
  <c r="K905" i="26"/>
  <c r="C906" i="26"/>
  <c r="E906" i="26"/>
  <c r="G906" i="26"/>
  <c r="K906" i="26"/>
  <c r="C907" i="26"/>
  <c r="E907" i="26"/>
  <c r="G907" i="26"/>
  <c r="K907" i="26"/>
  <c r="C908" i="26"/>
  <c r="E908" i="26"/>
  <c r="G908" i="26"/>
  <c r="K908" i="26"/>
  <c r="C909" i="26"/>
  <c r="E909" i="26"/>
  <c r="G909" i="26"/>
  <c r="K909" i="26"/>
  <c r="C910" i="26"/>
  <c r="E910" i="26"/>
  <c r="G910" i="26"/>
  <c r="K910" i="26"/>
  <c r="C911" i="26"/>
  <c r="E911" i="26"/>
  <c r="G911" i="26"/>
  <c r="K911" i="26"/>
  <c r="C912" i="26"/>
  <c r="E912" i="26"/>
  <c r="G912" i="26"/>
  <c r="K912" i="26"/>
  <c r="C278" i="26"/>
  <c r="E278" i="26"/>
  <c r="G278" i="26"/>
  <c r="K278" i="26"/>
  <c r="C913" i="26"/>
  <c r="E913" i="26"/>
  <c r="G913" i="26"/>
  <c r="K913" i="26"/>
  <c r="C914" i="26"/>
  <c r="E914" i="26"/>
  <c r="G914" i="26"/>
  <c r="K914" i="26"/>
  <c r="C915" i="26"/>
  <c r="E915" i="26"/>
  <c r="G915" i="26"/>
  <c r="K915" i="26"/>
  <c r="C916" i="26"/>
  <c r="E916" i="26"/>
  <c r="G916" i="26"/>
  <c r="K916" i="26"/>
  <c r="C917" i="26"/>
  <c r="E917" i="26"/>
  <c r="G917" i="26"/>
  <c r="K917" i="26"/>
  <c r="C918" i="26"/>
  <c r="E918" i="26"/>
  <c r="G918" i="26"/>
  <c r="K918" i="26"/>
  <c r="C919" i="26"/>
  <c r="E919" i="26"/>
  <c r="G919" i="26"/>
  <c r="K919" i="26"/>
  <c r="C920" i="26"/>
  <c r="E920" i="26"/>
  <c r="G920" i="26"/>
  <c r="K920" i="26"/>
  <c r="C921" i="26"/>
  <c r="E921" i="26"/>
  <c r="G921" i="26"/>
  <c r="K921" i="26"/>
  <c r="C922" i="26"/>
  <c r="E922" i="26"/>
  <c r="G922" i="26"/>
  <c r="K922" i="26"/>
  <c r="C681" i="26"/>
  <c r="E681" i="26"/>
  <c r="G681" i="26"/>
  <c r="K681" i="26"/>
  <c r="C162" i="26"/>
  <c r="E162" i="26"/>
  <c r="G162" i="26"/>
  <c r="K162" i="26"/>
  <c r="K923" i="26"/>
  <c r="K924" i="26"/>
  <c r="K925" i="26"/>
  <c r="C926" i="26"/>
  <c r="D926" i="26" s="1"/>
  <c r="F161" i="5" s="1"/>
  <c r="E926" i="26"/>
  <c r="F926" i="26" s="1"/>
  <c r="G161" i="5" s="1"/>
  <c r="G926" i="26"/>
  <c r="K926" i="26"/>
  <c r="C927" i="26"/>
  <c r="D927" i="26" s="1"/>
  <c r="F162" i="5" s="1"/>
  <c r="E927" i="26"/>
  <c r="F927" i="26" s="1"/>
  <c r="G162" i="5" s="1"/>
  <c r="G927" i="26"/>
  <c r="H927" i="26" s="1"/>
  <c r="H162" i="5" s="1"/>
  <c r="K927" i="26"/>
  <c r="C929" i="26"/>
  <c r="D929" i="26" s="1"/>
  <c r="F160" i="5" s="1"/>
  <c r="E929" i="26"/>
  <c r="F929" i="26" s="1"/>
  <c r="G160" i="5" s="1"/>
  <c r="G929" i="26"/>
  <c r="H929" i="26" s="1"/>
  <c r="H160" i="5" s="1"/>
  <c r="K929" i="26"/>
  <c r="C930" i="26"/>
  <c r="E930" i="26"/>
  <c r="G930" i="26"/>
  <c r="K930" i="26"/>
  <c r="K931" i="26"/>
  <c r="C932" i="26"/>
  <c r="E932" i="26"/>
  <c r="G932" i="26"/>
  <c r="K932" i="26"/>
  <c r="C933" i="26"/>
  <c r="E933" i="26"/>
  <c r="G933" i="26"/>
  <c r="K933" i="26"/>
  <c r="C934" i="26"/>
  <c r="E934" i="26"/>
  <c r="G934" i="26"/>
  <c r="K934" i="26"/>
  <c r="C935" i="26"/>
  <c r="E935" i="26"/>
  <c r="G935" i="26"/>
  <c r="K935" i="26"/>
  <c r="C936" i="26"/>
  <c r="E936" i="26"/>
  <c r="G936" i="26"/>
  <c r="K936" i="26"/>
  <c r="C937" i="26"/>
  <c r="E937" i="26"/>
  <c r="G937" i="26"/>
  <c r="K937" i="26"/>
  <c r="C938" i="26"/>
  <c r="E938" i="26"/>
  <c r="G938" i="26"/>
  <c r="K938" i="26"/>
  <c r="C940" i="26"/>
  <c r="E940" i="26"/>
  <c r="G940" i="26"/>
  <c r="K940" i="26"/>
  <c r="C944" i="26"/>
  <c r="E944" i="26"/>
  <c r="G944" i="26"/>
  <c r="K944" i="26"/>
  <c r="C946" i="26"/>
  <c r="E946" i="26"/>
  <c r="G946" i="26"/>
  <c r="K946" i="26"/>
  <c r="C947" i="26"/>
  <c r="E947" i="26"/>
  <c r="G947" i="26"/>
  <c r="K947" i="26"/>
  <c r="C948" i="26"/>
  <c r="E948" i="26"/>
  <c r="G948" i="26"/>
  <c r="K948" i="26"/>
  <c r="C949" i="26"/>
  <c r="E949" i="26"/>
  <c r="G949" i="26"/>
  <c r="K949" i="26"/>
  <c r="C950" i="26"/>
  <c r="E950" i="26"/>
  <c r="G950" i="26"/>
  <c r="K950" i="26"/>
  <c r="C951" i="26"/>
  <c r="E951" i="26"/>
  <c r="G951" i="26"/>
  <c r="K951" i="26"/>
  <c r="K952" i="26"/>
  <c r="C953" i="26"/>
  <c r="E953" i="26"/>
  <c r="G953" i="26"/>
  <c r="K953" i="26"/>
  <c r="C954" i="26"/>
  <c r="E954" i="26"/>
  <c r="F954" i="26" s="1"/>
  <c r="G175" i="5" s="1"/>
  <c r="G954" i="26"/>
  <c r="K954" i="26"/>
  <c r="C955" i="26"/>
  <c r="D955" i="26" s="1"/>
  <c r="F176" i="5" s="1"/>
  <c r="E955" i="26"/>
  <c r="F955" i="26" s="1"/>
  <c r="G955" i="26"/>
  <c r="H955" i="26" s="1"/>
  <c r="H176" i="5" s="1"/>
  <c r="K955" i="26"/>
  <c r="C956" i="26"/>
  <c r="D956" i="26" s="1"/>
  <c r="F179" i="5" s="1"/>
  <c r="E956" i="26"/>
  <c r="F956" i="26" s="1"/>
  <c r="G179" i="5" s="1"/>
  <c r="G956" i="26"/>
  <c r="H956" i="26" s="1"/>
  <c r="H179" i="5" s="1"/>
  <c r="K956" i="26"/>
  <c r="C957" i="26"/>
  <c r="D957" i="26" s="1"/>
  <c r="F177" i="5" s="1"/>
  <c r="E957" i="26"/>
  <c r="F957" i="26" s="1"/>
  <c r="G177" i="5" s="1"/>
  <c r="G957" i="26"/>
  <c r="H957" i="26" s="1"/>
  <c r="H177" i="5" s="1"/>
  <c r="K957" i="26"/>
  <c r="C958" i="26"/>
  <c r="F178" i="5" s="1"/>
  <c r="E958" i="26"/>
  <c r="F958" i="26" s="1"/>
  <c r="G178" i="5" s="1"/>
  <c r="G958" i="26"/>
  <c r="H958" i="26" s="1"/>
  <c r="H178" i="5" s="1"/>
  <c r="K958" i="26"/>
  <c r="K960" i="26"/>
  <c r="C961" i="26"/>
  <c r="E961" i="26"/>
  <c r="G961" i="26"/>
  <c r="K961" i="26"/>
  <c r="C962" i="26"/>
  <c r="E962" i="26"/>
  <c r="G962" i="26"/>
  <c r="K962" i="26"/>
  <c r="C963" i="26"/>
  <c r="E963" i="26"/>
  <c r="G963" i="26"/>
  <c r="K963" i="26"/>
  <c r="K964" i="26"/>
  <c r="C965" i="26"/>
  <c r="D965" i="26" s="1"/>
  <c r="C14" i="3" s="1"/>
  <c r="E965" i="26"/>
  <c r="F965" i="26" s="1"/>
  <c r="D14" i="3" s="1"/>
  <c r="G965" i="26"/>
  <c r="H965" i="26" s="1"/>
  <c r="E14" i="3" s="1"/>
  <c r="K965" i="26"/>
  <c r="K966" i="26"/>
  <c r="C967" i="26"/>
  <c r="D967" i="26" s="1"/>
  <c r="E967" i="26"/>
  <c r="F967" i="26" s="1"/>
  <c r="G967" i="26"/>
  <c r="H967" i="26" s="1"/>
  <c r="K967" i="26"/>
  <c r="K968" i="26"/>
  <c r="C969" i="26"/>
  <c r="D969" i="26" s="1"/>
  <c r="G969" i="26"/>
  <c r="H969" i="26" s="1"/>
  <c r="K969" i="26"/>
  <c r="C970" i="26"/>
  <c r="D970" i="26" s="1"/>
  <c r="F265" i="5" s="1"/>
  <c r="G970" i="26"/>
  <c r="H970" i="26" s="1"/>
  <c r="H265" i="5" s="1"/>
  <c r="K970" i="26"/>
  <c r="C971" i="26"/>
  <c r="D971" i="26" s="1"/>
  <c r="F262" i="5" s="1"/>
  <c r="G971" i="26"/>
  <c r="H971" i="26" s="1"/>
  <c r="H262" i="5" s="1"/>
  <c r="K971" i="26"/>
  <c r="C972" i="26"/>
  <c r="D972" i="26" s="1"/>
  <c r="G972" i="26"/>
  <c r="H972" i="26" s="1"/>
  <c r="K972" i="26"/>
  <c r="C973" i="26"/>
  <c r="D973" i="26" s="1"/>
  <c r="F264" i="5" s="1"/>
  <c r="G973" i="26"/>
  <c r="H973" i="26" s="1"/>
  <c r="H264" i="5" s="1"/>
  <c r="K973" i="26"/>
  <c r="K974" i="26"/>
  <c r="C975" i="26"/>
  <c r="D975" i="26" s="1"/>
  <c r="F285" i="5" s="1"/>
  <c r="G975" i="26"/>
  <c r="H975" i="26" s="1"/>
  <c r="H285" i="5" s="1"/>
  <c r="K975" i="26"/>
  <c r="C976" i="26"/>
  <c r="G976" i="26"/>
  <c r="K976" i="26"/>
  <c r="C977" i="26"/>
  <c r="G977" i="26"/>
  <c r="K977" i="26"/>
  <c r="C978" i="26"/>
  <c r="G978" i="26"/>
  <c r="K978" i="26"/>
  <c r="C979" i="26"/>
  <c r="G979" i="26"/>
  <c r="K979" i="26"/>
  <c r="C980" i="26"/>
  <c r="G980" i="26"/>
  <c r="K980" i="26"/>
  <c r="C981" i="26"/>
  <c r="G981" i="26"/>
  <c r="K981" i="26"/>
  <c r="C982" i="26"/>
  <c r="G982" i="26"/>
  <c r="K982" i="26"/>
  <c r="C983" i="26"/>
  <c r="G983" i="26"/>
  <c r="K983" i="26"/>
  <c r="C984" i="26"/>
  <c r="G984" i="26"/>
  <c r="K984" i="26"/>
  <c r="C985" i="26"/>
  <c r="G985" i="26"/>
  <c r="K985" i="26"/>
  <c r="C986" i="26"/>
  <c r="G986" i="26"/>
  <c r="K986" i="26"/>
  <c r="C987" i="26"/>
  <c r="G987" i="26"/>
  <c r="K987" i="26"/>
  <c r="C988" i="26"/>
  <c r="G988" i="26"/>
  <c r="K988" i="26"/>
  <c r="C989" i="26"/>
  <c r="G989" i="26"/>
  <c r="K989" i="26"/>
  <c r="C991" i="26"/>
  <c r="G991" i="26"/>
  <c r="K991" i="26"/>
  <c r="C992" i="26"/>
  <c r="G992" i="26"/>
  <c r="K992" i="26"/>
  <c r="K993" i="26"/>
  <c r="C994" i="26"/>
  <c r="D994" i="26" s="1"/>
  <c r="F994" i="26"/>
  <c r="D22" i="3" s="1"/>
  <c r="G994" i="26"/>
  <c r="H994" i="26" s="1"/>
  <c r="K994" i="26"/>
  <c r="C995" i="26"/>
  <c r="D995" i="26" s="1"/>
  <c r="E995" i="26"/>
  <c r="F995" i="26" s="1"/>
  <c r="G995" i="26"/>
  <c r="H995" i="26" s="1"/>
  <c r="K995" i="26"/>
  <c r="K996" i="26"/>
  <c r="C997" i="26"/>
  <c r="E997" i="26"/>
  <c r="F997" i="26" s="1"/>
  <c r="D30" i="3" s="1"/>
  <c r="D32" i="3" s="1"/>
  <c r="G997" i="26"/>
  <c r="K997" i="26"/>
  <c r="C998" i="26"/>
  <c r="E998" i="26"/>
  <c r="G998" i="26"/>
  <c r="K998" i="26"/>
  <c r="C999" i="26"/>
  <c r="E999" i="26"/>
  <c r="G999" i="26"/>
  <c r="K999" i="26"/>
  <c r="C1000" i="26"/>
  <c r="E1000" i="26"/>
  <c r="G1000" i="26"/>
  <c r="K1000" i="26"/>
  <c r="C1001" i="26"/>
  <c r="E1001" i="26"/>
  <c r="G1001" i="26"/>
  <c r="K1001" i="26"/>
  <c r="C1002" i="26"/>
  <c r="E1002" i="26"/>
  <c r="G1002" i="26"/>
  <c r="K1002" i="26"/>
  <c r="C1003" i="26"/>
  <c r="E1003" i="26"/>
  <c r="G1003" i="26"/>
  <c r="K1003" i="26"/>
  <c r="C1004" i="26"/>
  <c r="E1004" i="26"/>
  <c r="G1004" i="26"/>
  <c r="K1004" i="26"/>
  <c r="C1005" i="26"/>
  <c r="E1005" i="26"/>
  <c r="G1005" i="26"/>
  <c r="K1005" i="26"/>
  <c r="C1006" i="26"/>
  <c r="E1006" i="26"/>
  <c r="G1006" i="26"/>
  <c r="K1006" i="26"/>
  <c r="C1007" i="26"/>
  <c r="E1007" i="26"/>
  <c r="G1007" i="26"/>
  <c r="K1007" i="26"/>
  <c r="C1008" i="26"/>
  <c r="E1008" i="26"/>
  <c r="G1008" i="26"/>
  <c r="K1008" i="26"/>
  <c r="C1009" i="26"/>
  <c r="E1009" i="26"/>
  <c r="G1009" i="26"/>
  <c r="K1009" i="26"/>
  <c r="C1010" i="26"/>
  <c r="E1010" i="26"/>
  <c r="G1010" i="26"/>
  <c r="K1010" i="26"/>
  <c r="C1011" i="26"/>
  <c r="E1011" i="26"/>
  <c r="G1011" i="26"/>
  <c r="K1011" i="26"/>
  <c r="C1012" i="26"/>
  <c r="E1012" i="26"/>
  <c r="G1012" i="26"/>
  <c r="K1012" i="26"/>
  <c r="C1013" i="26"/>
  <c r="E1013" i="26"/>
  <c r="G1013" i="26"/>
  <c r="K1013" i="26"/>
  <c r="C1014" i="26"/>
  <c r="E1014" i="26"/>
  <c r="G1014" i="26"/>
  <c r="K1014" i="26"/>
  <c r="C1015" i="26"/>
  <c r="E1015" i="26"/>
  <c r="G1015" i="26"/>
  <c r="K1015" i="26"/>
  <c r="C1016" i="26"/>
  <c r="E1016" i="26"/>
  <c r="G1016" i="26"/>
  <c r="K1016" i="26"/>
  <c r="C1017" i="26"/>
  <c r="E1017" i="26"/>
  <c r="G1017" i="26"/>
  <c r="K1017" i="26"/>
  <c r="C1018" i="26"/>
  <c r="E1018" i="26"/>
  <c r="G1018" i="26"/>
  <c r="K1018" i="26"/>
  <c r="C1019" i="26"/>
  <c r="E1019" i="26"/>
  <c r="G1019" i="26"/>
  <c r="K1019" i="26"/>
  <c r="C1020" i="26"/>
  <c r="E1020" i="26"/>
  <c r="G1020" i="26"/>
  <c r="K1020" i="26"/>
  <c r="C1021" i="26"/>
  <c r="E1021" i="26"/>
  <c r="G1021" i="26"/>
  <c r="K1021" i="26"/>
  <c r="C1022" i="26"/>
  <c r="E1022" i="26"/>
  <c r="G1022" i="26"/>
  <c r="K1022" i="26"/>
  <c r="C1023" i="26"/>
  <c r="E1023" i="26"/>
  <c r="G1023" i="26"/>
  <c r="K1023" i="26"/>
  <c r="C1024" i="26"/>
  <c r="E1024" i="26"/>
  <c r="G1024" i="26"/>
  <c r="K1024" i="26"/>
  <c r="C1025" i="26"/>
  <c r="E1025" i="26"/>
  <c r="G1025" i="26"/>
  <c r="K1025" i="26"/>
  <c r="C1026" i="26"/>
  <c r="E1026" i="26"/>
  <c r="G1026" i="26"/>
  <c r="K1026" i="26"/>
  <c r="C1027" i="26"/>
  <c r="E1027" i="26"/>
  <c r="G1027" i="26"/>
  <c r="K1027" i="26"/>
  <c r="C1028" i="26"/>
  <c r="E1028" i="26"/>
  <c r="G1028" i="26"/>
  <c r="K1028" i="26"/>
  <c r="C1029" i="26"/>
  <c r="E1029" i="26"/>
  <c r="G1029" i="26"/>
  <c r="K1029" i="26"/>
  <c r="C1030" i="26"/>
  <c r="E1030" i="26"/>
  <c r="G1030" i="26"/>
  <c r="K1030" i="26"/>
  <c r="C1031" i="26"/>
  <c r="E1031" i="26"/>
  <c r="G1031" i="26"/>
  <c r="K1031" i="26"/>
  <c r="C1032" i="26"/>
  <c r="E1032" i="26"/>
  <c r="G1032" i="26"/>
  <c r="K1032" i="26"/>
  <c r="C1033" i="26"/>
  <c r="E1033" i="26"/>
  <c r="G1033" i="26"/>
  <c r="K1033" i="26"/>
  <c r="C1034" i="26"/>
  <c r="E1034" i="26"/>
  <c r="G1034" i="26"/>
  <c r="K1034" i="26"/>
  <c r="C1035" i="26"/>
  <c r="E1035" i="26"/>
  <c r="G1035" i="26"/>
  <c r="K1035" i="26"/>
  <c r="C1036" i="26"/>
  <c r="E1036" i="26"/>
  <c r="G1036" i="26"/>
  <c r="K1036" i="26"/>
  <c r="C1037" i="26"/>
  <c r="E1037" i="26"/>
  <c r="G1037" i="26"/>
  <c r="K1037" i="26"/>
  <c r="C1038" i="26"/>
  <c r="E1038" i="26"/>
  <c r="G1038" i="26"/>
  <c r="K1038" i="26"/>
  <c r="C1039" i="26"/>
  <c r="E1039" i="26"/>
  <c r="G1039" i="26"/>
  <c r="K1039" i="26"/>
  <c r="C1040" i="26"/>
  <c r="E1040" i="26"/>
  <c r="G1040" i="26"/>
  <c r="K1040" i="26"/>
  <c r="K1041" i="26"/>
  <c r="C1042" i="26"/>
  <c r="E1042" i="26"/>
  <c r="G1042" i="26"/>
  <c r="K1042" i="26"/>
  <c r="C1043" i="26"/>
  <c r="E1043" i="26"/>
  <c r="G1043" i="26"/>
  <c r="K1043" i="26"/>
  <c r="C1044" i="26"/>
  <c r="E1044" i="26"/>
  <c r="G1044" i="26"/>
  <c r="K1044" i="26"/>
  <c r="C1045" i="26"/>
  <c r="E1045" i="26"/>
  <c r="G1045" i="26"/>
  <c r="K1045" i="26"/>
  <c r="C1046" i="26"/>
  <c r="E1046" i="26"/>
  <c r="G1046" i="26"/>
  <c r="K1046" i="26"/>
  <c r="C1047" i="26"/>
  <c r="E1047" i="26"/>
  <c r="G1047" i="26"/>
  <c r="K1047" i="26"/>
  <c r="C1048" i="26"/>
  <c r="E1048" i="26"/>
  <c r="G1048" i="26"/>
  <c r="K1048" i="26"/>
  <c r="C1049" i="26"/>
  <c r="E1049" i="26"/>
  <c r="G1049" i="26"/>
  <c r="K1049" i="26"/>
  <c r="C1050" i="26"/>
  <c r="E1050" i="26"/>
  <c r="G1050" i="26"/>
  <c r="K1050" i="26"/>
  <c r="C1051" i="26"/>
  <c r="E1051" i="26"/>
  <c r="G1051" i="26"/>
  <c r="K1051" i="26"/>
  <c r="C1052" i="26"/>
  <c r="E1052" i="26"/>
  <c r="G1052" i="26"/>
  <c r="K1052" i="26"/>
  <c r="C1053" i="26"/>
  <c r="E1053" i="26"/>
  <c r="G1053" i="26"/>
  <c r="K1053" i="26"/>
  <c r="C1054" i="26"/>
  <c r="E1054" i="26"/>
  <c r="G1054" i="26"/>
  <c r="K1054" i="26"/>
  <c r="C22" i="3" l="1"/>
  <c r="F300" i="5"/>
  <c r="H55" i="26"/>
  <c r="H32" i="5" s="1"/>
  <c r="F128" i="5"/>
  <c r="F294" i="5"/>
  <c r="E22" i="3"/>
  <c r="H300" i="5"/>
  <c r="D55" i="26"/>
  <c r="F32" i="5" s="1"/>
  <c r="H261" i="5"/>
  <c r="F801" i="26"/>
  <c r="F251" i="26"/>
  <c r="F255" i="26"/>
  <c r="H954" i="26"/>
  <c r="H175" i="5" s="1"/>
  <c r="F261" i="5"/>
  <c r="C36" i="3"/>
  <c r="F301" i="5"/>
  <c r="D959" i="26"/>
  <c r="H180" i="5"/>
  <c r="H184" i="5" s="1"/>
  <c r="F271" i="26"/>
  <c r="H271" i="26"/>
  <c r="H255" i="26"/>
  <c r="F844" i="26"/>
  <c r="H865" i="26"/>
  <c r="H752" i="26"/>
  <c r="D954" i="26"/>
  <c r="F175" i="5" s="1"/>
  <c r="D844" i="26"/>
  <c r="D255" i="26"/>
  <c r="H801" i="26"/>
  <c r="F865" i="26"/>
  <c r="H848" i="26"/>
  <c r="D865" i="26"/>
  <c r="F848" i="26"/>
  <c r="F752" i="26"/>
  <c r="H749" i="26"/>
  <c r="H165" i="26"/>
  <c r="H47" i="5" s="1"/>
  <c r="F749" i="26"/>
  <c r="F165" i="26"/>
  <c r="F46" i="26"/>
  <c r="F192" i="5"/>
  <c r="C15" i="3"/>
  <c r="D883" i="26"/>
  <c r="F592" i="26"/>
  <c r="F539" i="26"/>
  <c r="F193" i="26"/>
  <c r="D169" i="26"/>
  <c r="D118" i="26"/>
  <c r="F52" i="26"/>
  <c r="F40" i="26"/>
  <c r="H21" i="26"/>
  <c r="H46" i="26"/>
  <c r="H25" i="5" s="1"/>
  <c r="D165" i="26"/>
  <c r="F47" i="5" s="1"/>
  <c r="H992" i="26"/>
  <c r="D629" i="26"/>
  <c r="H802" i="26"/>
  <c r="D740" i="26"/>
  <c r="H719" i="26"/>
  <c r="D592" i="26"/>
  <c r="D539" i="26"/>
  <c r="D193" i="26"/>
  <c r="D52" i="26"/>
  <c r="D40" i="26"/>
  <c r="H29" i="26"/>
  <c r="H15" i="5" s="1"/>
  <c r="H28" i="26"/>
  <c r="F21" i="26"/>
  <c r="H268" i="26"/>
  <c r="F94" i="26"/>
  <c r="G192" i="5"/>
  <c r="D15" i="3"/>
  <c r="H963" i="26"/>
  <c r="E13" i="3" s="1"/>
  <c r="H926" i="26"/>
  <c r="H161" i="5" s="1"/>
  <c r="H164" i="5" s="1"/>
  <c r="H740" i="26"/>
  <c r="H193" i="26"/>
  <c r="F118" i="26"/>
  <c r="H40" i="26"/>
  <c r="G176" i="5"/>
  <c r="F1039" i="26"/>
  <c r="H834" i="26"/>
  <c r="F825" i="26"/>
  <c r="F802" i="26"/>
  <c r="F719" i="26"/>
  <c r="F29" i="26"/>
  <c r="F28" i="26"/>
  <c r="D21" i="26"/>
  <c r="F153" i="26"/>
  <c r="H94" i="26"/>
  <c r="H883" i="26"/>
  <c r="H856" i="26"/>
  <c r="D268" i="26"/>
  <c r="D94" i="26"/>
  <c r="D46" i="26"/>
  <c r="D992" i="26"/>
  <c r="F286" i="5" s="1"/>
  <c r="H825" i="26"/>
  <c r="H1054" i="26"/>
  <c r="I955" i="26"/>
  <c r="I957" i="26"/>
  <c r="F834" i="26"/>
  <c r="D825" i="26"/>
  <c r="H817" i="26"/>
  <c r="D802" i="26"/>
  <c r="D719" i="26"/>
  <c r="D29" i="26"/>
  <c r="H11" i="26"/>
  <c r="D706" i="26"/>
  <c r="F558" i="26"/>
  <c r="H629" i="26"/>
  <c r="H68" i="26"/>
  <c r="F68" i="26"/>
  <c r="D963" i="26"/>
  <c r="D821" i="26"/>
  <c r="H1040" i="26"/>
  <c r="H840" i="26"/>
  <c r="D834" i="26"/>
  <c r="F817" i="26"/>
  <c r="H731" i="26"/>
  <c r="H31" i="26"/>
  <c r="H16" i="5" s="1"/>
  <c r="F11" i="26"/>
  <c r="H192" i="5"/>
  <c r="E15" i="3"/>
  <c r="D153" i="26"/>
  <c r="F883" i="26"/>
  <c r="F629" i="26"/>
  <c r="H169" i="26"/>
  <c r="D68" i="26"/>
  <c r="H52" i="26"/>
  <c r="D1054" i="26"/>
  <c r="F1040" i="26"/>
  <c r="H951" i="26"/>
  <c r="F840" i="26"/>
  <c r="D817" i="26"/>
  <c r="F731" i="26"/>
  <c r="H251" i="26"/>
  <c r="H202" i="26"/>
  <c r="F31" i="26"/>
  <c r="G16" i="5" s="1"/>
  <c r="D11" i="26"/>
  <c r="H6" i="26"/>
  <c r="D558" i="26"/>
  <c r="H153" i="26"/>
  <c r="D752" i="26"/>
  <c r="F268" i="26"/>
  <c r="D678" i="26"/>
  <c r="F856" i="26"/>
  <c r="H821" i="26"/>
  <c r="H118" i="26"/>
  <c r="H35" i="5" s="1"/>
  <c r="D856" i="26"/>
  <c r="F169" i="26"/>
  <c r="F740" i="26"/>
  <c r="D1040" i="26"/>
  <c r="D840" i="26"/>
  <c r="D731" i="26"/>
  <c r="H706" i="26"/>
  <c r="F202" i="26"/>
  <c r="F6" i="26"/>
  <c r="H558" i="26"/>
  <c r="H678" i="26"/>
  <c r="D848" i="26"/>
  <c r="F678" i="26"/>
  <c r="D271" i="26"/>
  <c r="D749" i="26"/>
  <c r="F963" i="26"/>
  <c r="D13" i="3" s="1"/>
  <c r="F821" i="26"/>
  <c r="H592" i="26"/>
  <c r="H539" i="26"/>
  <c r="D951" i="26"/>
  <c r="H844" i="26"/>
  <c r="F706" i="26"/>
  <c r="D251" i="26"/>
  <c r="D202" i="26"/>
  <c r="D6" i="26"/>
  <c r="F153" i="5"/>
  <c r="I66" i="17" l="1"/>
  <c r="H66" i="17"/>
  <c r="I65" i="17"/>
  <c r="H65" i="17"/>
  <c r="I64" i="17"/>
  <c r="H64" i="17"/>
  <c r="I63" i="17"/>
  <c r="H63" i="17"/>
  <c r="I62" i="17"/>
  <c r="H62" i="17"/>
  <c r="I61" i="17"/>
  <c r="H61" i="17"/>
  <c r="I60" i="17"/>
  <c r="H60" i="17"/>
  <c r="I59" i="17"/>
  <c r="H59" i="17"/>
  <c r="I58" i="17"/>
  <c r="H58" i="17"/>
  <c r="I57" i="17"/>
  <c r="H57" i="17"/>
  <c r="I56" i="17"/>
  <c r="H56" i="17"/>
  <c r="I55" i="17"/>
  <c r="H55" i="17"/>
  <c r="I54" i="17"/>
  <c r="H54" i="17"/>
  <c r="I53" i="17"/>
  <c r="H53" i="17"/>
  <c r="I52" i="17"/>
  <c r="H52" i="17"/>
  <c r="I51" i="17"/>
  <c r="H51" i="17"/>
  <c r="I50" i="17"/>
  <c r="H50" i="17"/>
  <c r="I49" i="17"/>
  <c r="H49" i="17"/>
  <c r="I48" i="17"/>
  <c r="H48" i="17"/>
  <c r="I47" i="17"/>
  <c r="H47" i="17"/>
  <c r="I46" i="17"/>
  <c r="H46" i="17"/>
  <c r="I45" i="17"/>
  <c r="H45" i="17"/>
  <c r="I44" i="17"/>
  <c r="H44" i="17"/>
  <c r="I43" i="17"/>
  <c r="H43" i="17"/>
  <c r="I42" i="17"/>
  <c r="H42" i="17"/>
  <c r="I41" i="17"/>
  <c r="H41" i="17"/>
  <c r="I40" i="17"/>
  <c r="H40" i="17"/>
  <c r="I39" i="17"/>
  <c r="H39" i="17"/>
  <c r="I38" i="17"/>
  <c r="H38" i="17"/>
  <c r="I37" i="17"/>
  <c r="H37" i="17"/>
  <c r="I36" i="17"/>
  <c r="H36" i="17"/>
  <c r="I35" i="17"/>
  <c r="H35" i="17"/>
  <c r="I34" i="17"/>
  <c r="H34" i="17"/>
  <c r="I33" i="17"/>
  <c r="H33" i="17"/>
  <c r="I32" i="17"/>
  <c r="H32" i="17"/>
  <c r="I31" i="17"/>
  <c r="H31" i="17"/>
  <c r="I30" i="17"/>
  <c r="H30" i="17"/>
  <c r="I29" i="17"/>
  <c r="H29" i="17"/>
  <c r="I28" i="17"/>
  <c r="H28" i="17"/>
  <c r="I27" i="17"/>
  <c r="H27" i="17"/>
  <c r="I26" i="17"/>
  <c r="H26" i="17"/>
  <c r="I25" i="17"/>
  <c r="H25" i="17"/>
  <c r="I24" i="17"/>
  <c r="H24" i="17"/>
  <c r="I23" i="17"/>
  <c r="H23" i="17"/>
  <c r="I22" i="17"/>
  <c r="H22" i="17"/>
  <c r="I21" i="17"/>
  <c r="H21" i="17"/>
  <c r="I20" i="17"/>
  <c r="H20" i="17"/>
  <c r="I19" i="17"/>
  <c r="H19" i="17"/>
  <c r="I18" i="17"/>
  <c r="H18" i="17"/>
  <c r="I17" i="17"/>
  <c r="H17" i="17"/>
  <c r="I16" i="17"/>
  <c r="H16" i="17"/>
  <c r="I15" i="17"/>
  <c r="H15" i="17"/>
  <c r="I14" i="17"/>
  <c r="H14" i="17"/>
  <c r="I13" i="17"/>
  <c r="H13" i="17"/>
  <c r="I12" i="17"/>
  <c r="H12" i="17"/>
  <c r="I11" i="17"/>
  <c r="H11" i="17"/>
  <c r="I10" i="17"/>
  <c r="H10" i="17"/>
  <c r="I9" i="17"/>
  <c r="H9" i="17"/>
  <c r="I8" i="17"/>
  <c r="H8" i="17"/>
  <c r="I7" i="17"/>
  <c r="H7" i="17"/>
  <c r="A103" i="5" l="1"/>
  <c r="H90" i="5"/>
  <c r="G90" i="5"/>
  <c r="F90" i="5"/>
  <c r="H78" i="5" l="1"/>
  <c r="G78" i="5"/>
  <c r="F78" i="5"/>
  <c r="H66" i="5"/>
  <c r="G66" i="5"/>
  <c r="F66" i="5"/>
  <c r="H53" i="5"/>
  <c r="G53" i="5"/>
  <c r="F53" i="5"/>
  <c r="H67" i="17" l="1"/>
  <c r="I67" i="17"/>
  <c r="C4" i="17" l="1"/>
  <c r="C21" i="17"/>
  <c r="C22" i="17"/>
  <c r="C23" i="17"/>
  <c r="C24" i="17"/>
  <c r="C25" i="17"/>
  <c r="C26" i="17"/>
  <c r="C27" i="17"/>
  <c r="C28" i="17"/>
  <c r="C29" i="17"/>
  <c r="C30" i="17"/>
  <c r="C31" i="17"/>
  <c r="C32" i="17"/>
  <c r="C33" i="17"/>
  <c r="C34" i="17"/>
  <c r="C35" i="17"/>
  <c r="C36" i="17"/>
  <c r="C37" i="17"/>
  <c r="C38" i="17"/>
  <c r="C39" i="17"/>
  <c r="C40" i="17"/>
  <c r="C41" i="17"/>
  <c r="C42" i="17"/>
  <c r="C43" i="17"/>
  <c r="E81" i="17" s="1"/>
  <c r="C44" i="17"/>
  <c r="C45" i="17"/>
  <c r="C46" i="17"/>
  <c r="C47" i="17"/>
  <c r="C48" i="17"/>
  <c r="C49" i="17"/>
  <c r="C50" i="17"/>
  <c r="C51" i="17"/>
  <c r="C52" i="17"/>
  <c r="C53" i="17"/>
  <c r="C54" i="17"/>
  <c r="C55" i="17"/>
  <c r="C56" i="17"/>
  <c r="C57" i="17"/>
  <c r="C58" i="17"/>
  <c r="C59" i="17"/>
  <c r="C60" i="17"/>
  <c r="C61" i="17"/>
  <c r="C62" i="17"/>
  <c r="C63" i="17"/>
  <c r="C64" i="17"/>
  <c r="E86" i="17" s="1"/>
  <c r="C65" i="17"/>
  <c r="C66" i="17"/>
  <c r="C8" i="17"/>
  <c r="C9" i="17"/>
  <c r="C10" i="17"/>
  <c r="C11" i="17"/>
  <c r="C12" i="17"/>
  <c r="C13" i="17"/>
  <c r="C14" i="17"/>
  <c r="C15" i="17"/>
  <c r="C16" i="17"/>
  <c r="C17" i="17"/>
  <c r="C18" i="17"/>
  <c r="E83" i="17" s="1"/>
  <c r="C19" i="17"/>
  <c r="C20" i="17"/>
  <c r="C7" i="17"/>
  <c r="E84" i="17"/>
  <c r="D4" i="17"/>
  <c r="D80" i="17" s="1"/>
  <c r="E82" i="17" l="1"/>
  <c r="C78" i="17"/>
  <c r="E85" i="17"/>
  <c r="C6" i="17"/>
  <c r="E6" i="17" s="1"/>
  <c r="E66" i="17" s="1"/>
  <c r="E4" i="17"/>
  <c r="C67" i="17"/>
  <c r="G46" i="5" l="1"/>
  <c r="H46" i="5"/>
  <c r="G112" i="5"/>
  <c r="H112" i="5"/>
  <c r="E90" i="17"/>
  <c r="E96" i="17"/>
  <c r="G60" i="5"/>
  <c r="H60" i="5"/>
  <c r="E97" i="17"/>
  <c r="G58" i="5"/>
  <c r="H58" i="5"/>
  <c r="E23" i="1"/>
  <c r="D13" i="1"/>
  <c r="E13" i="1"/>
  <c r="F112" i="5" l="1"/>
  <c r="F94" i="5"/>
  <c r="F84" i="5"/>
  <c r="F82" i="5"/>
  <c r="F60" i="5"/>
  <c r="F126" i="5"/>
  <c r="F58" i="5"/>
  <c r="F46" i="5"/>
  <c r="F117" i="5"/>
  <c r="G96" i="5"/>
  <c r="H97" i="5"/>
  <c r="G97" i="5"/>
  <c r="F96" i="5"/>
  <c r="H96" i="5"/>
  <c r="H94" i="5"/>
  <c r="G94" i="5"/>
  <c r="G131" i="5"/>
  <c r="H118" i="5"/>
  <c r="H136" i="5"/>
  <c r="G136" i="5"/>
  <c r="F136" i="5"/>
  <c r="G71" i="5"/>
  <c r="F131" i="5"/>
  <c r="F71" i="5"/>
  <c r="G114" i="5"/>
  <c r="F114" i="5"/>
  <c r="H131" i="5"/>
  <c r="F72" i="5"/>
  <c r="H71" i="5"/>
  <c r="G84" i="5"/>
  <c r="H83" i="5"/>
  <c r="G82" i="5"/>
  <c r="F83" i="5"/>
  <c r="H126" i="5"/>
  <c r="G118" i="5"/>
  <c r="F70" i="5"/>
  <c r="G83" i="5"/>
  <c r="H57" i="5"/>
  <c r="H59" i="5"/>
  <c r="G126" i="5"/>
  <c r="F118" i="5"/>
  <c r="F85" i="5"/>
  <c r="H84" i="5"/>
  <c r="H116" i="5"/>
  <c r="G85" i="5"/>
  <c r="H117" i="5"/>
  <c r="H85" i="5"/>
  <c r="H70" i="5"/>
  <c r="H82" i="5"/>
  <c r="F59" i="5"/>
  <c r="H114" i="5"/>
  <c r="F116" i="5"/>
  <c r="H115" i="5"/>
  <c r="H129" i="5"/>
  <c r="G117" i="5"/>
  <c r="G59" i="5"/>
  <c r="F57" i="5"/>
  <c r="G115" i="5"/>
  <c r="G129" i="5"/>
  <c r="H48" i="5"/>
  <c r="G57" i="5"/>
  <c r="G116" i="5"/>
  <c r="H73" i="5"/>
  <c r="F115" i="5"/>
  <c r="F129" i="5"/>
  <c r="G48" i="5"/>
  <c r="G73" i="5"/>
  <c r="H111" i="5"/>
  <c r="F48" i="5"/>
  <c r="G70" i="5"/>
  <c r="F73" i="5"/>
  <c r="G111" i="5"/>
  <c r="F111" i="5"/>
  <c r="H72" i="5"/>
  <c r="G72" i="5"/>
  <c r="F17" i="5"/>
  <c r="H45" i="5"/>
  <c r="G45" i="5"/>
  <c r="F45" i="5"/>
  <c r="G47" i="5"/>
  <c r="E95" i="17"/>
  <c r="E93" i="17"/>
  <c r="E92" i="17"/>
  <c r="E99" i="17"/>
  <c r="E94" i="17"/>
  <c r="H135" i="5"/>
  <c r="G17" i="5"/>
  <c r="H17" i="5"/>
  <c r="G132" i="5"/>
  <c r="H132" i="5"/>
  <c r="G130" i="5"/>
  <c r="G135" i="5"/>
  <c r="F130" i="5"/>
  <c r="F132" i="5"/>
  <c r="H130" i="5"/>
  <c r="F135" i="5"/>
  <c r="G87" i="5" l="1"/>
  <c r="G99" i="5"/>
  <c r="F75" i="5"/>
  <c r="F62" i="5"/>
  <c r="F50" i="5"/>
  <c r="H87" i="5"/>
  <c r="F87" i="5"/>
  <c r="H75" i="5"/>
  <c r="G75" i="5"/>
  <c r="H62" i="5"/>
  <c r="G62" i="5"/>
  <c r="G50" i="5"/>
  <c r="H50" i="5"/>
  <c r="H99" i="5"/>
  <c r="F97" i="5"/>
  <c r="F99" i="5" s="1"/>
  <c r="H330" i="5"/>
  <c r="H332" i="5" s="1"/>
  <c r="H338" i="5"/>
  <c r="G332" i="5"/>
  <c r="F332" i="5"/>
  <c r="E332" i="5"/>
  <c r="D332" i="5"/>
  <c r="F447" i="5" l="1"/>
  <c r="G397" i="5"/>
  <c r="F397" i="5"/>
  <c r="D216" i="5"/>
  <c r="I216" i="5" s="1"/>
  <c r="G148" i="5"/>
  <c r="G150" i="5" l="1"/>
  <c r="G149" i="5" s="1"/>
  <c r="G152" i="5"/>
  <c r="C35" i="3" l="1"/>
  <c r="C23" i="3"/>
  <c r="I228" i="5"/>
  <c r="H228" i="5" s="1"/>
  <c r="H219" i="5" l="1"/>
  <c r="C16" i="3" l="1"/>
  <c r="E31" i="3" l="1"/>
  <c r="E11" i="3"/>
  <c r="G376" i="5"/>
  <c r="F375" i="5"/>
  <c r="G375" i="5"/>
  <c r="H346" i="5"/>
  <c r="G340" i="5"/>
  <c r="F340" i="5"/>
  <c r="E340" i="5"/>
  <c r="H340" i="5"/>
  <c r="D340" i="5"/>
  <c r="H310" i="5"/>
  <c r="G310" i="5"/>
  <c r="F310" i="5"/>
  <c r="H318" i="5"/>
  <c r="G318" i="5"/>
  <c r="F318" i="5"/>
  <c r="E219" i="5" l="1"/>
  <c r="F34" i="5"/>
  <c r="F368" i="5"/>
  <c r="F376" i="5" s="1"/>
  <c r="F8" i="5"/>
  <c r="F10" i="5"/>
  <c r="F13" i="5"/>
  <c r="F14" i="5"/>
  <c r="E241" i="5"/>
  <c r="H153" i="5"/>
  <c r="G8" i="5"/>
  <c r="G10" i="5"/>
  <c r="G13" i="5"/>
  <c r="G14" i="5"/>
  <c r="G15" i="5"/>
  <c r="H8" i="5"/>
  <c r="H10" i="5"/>
  <c r="H13" i="5"/>
  <c r="H14" i="5"/>
  <c r="H34" i="5"/>
  <c r="H137" i="5"/>
  <c r="G137" i="5"/>
  <c r="D213" i="5"/>
  <c r="I213" i="5" s="1"/>
  <c r="D215" i="5"/>
  <c r="I215" i="5" s="1"/>
  <c r="D217" i="5"/>
  <c r="I217" i="5" s="1"/>
  <c r="C37" i="3"/>
  <c r="F11" i="5"/>
  <c r="F16" i="5"/>
  <c r="G11" i="5"/>
  <c r="H11" i="5"/>
  <c r="H182" i="5"/>
  <c r="H462" i="5"/>
  <c r="H297" i="5"/>
  <c r="G271" i="5"/>
  <c r="G231" i="5"/>
  <c r="G253" i="5"/>
  <c r="G219" i="5"/>
  <c r="F219" i="5"/>
  <c r="H241" i="5"/>
  <c r="G241" i="5"/>
  <c r="F241" i="5"/>
  <c r="D241" i="5"/>
  <c r="J240" i="5"/>
  <c r="A20" i="5"/>
  <c r="A40" i="5" s="1"/>
  <c r="A121" i="5" s="1"/>
  <c r="H457" i="5"/>
  <c r="G457" i="5"/>
  <c r="F457" i="5"/>
  <c r="G393" i="5"/>
  <c r="F393" i="5"/>
  <c r="G364" i="5"/>
  <c r="F364" i="5"/>
  <c r="G289" i="5"/>
  <c r="G281" i="5"/>
  <c r="G257" i="5"/>
  <c r="B243" i="5"/>
  <c r="G197" i="5"/>
  <c r="H188" i="5"/>
  <c r="G188" i="5"/>
  <c r="F188" i="5"/>
  <c r="G171" i="5"/>
  <c r="G156" i="5"/>
  <c r="G34" i="5"/>
  <c r="A18" i="8"/>
  <c r="A244" i="12" s="1"/>
  <c r="E23" i="4"/>
  <c r="C21" i="4" s="1"/>
  <c r="B4" i="18"/>
  <c r="H289" i="5"/>
  <c r="F289" i="5"/>
  <c r="A1" i="3"/>
  <c r="A1" i="4"/>
  <c r="F197" i="5"/>
  <c r="F122" i="5"/>
  <c r="A3" i="4"/>
  <c r="G447" i="5"/>
  <c r="F171" i="5"/>
  <c r="B212" i="5"/>
  <c r="B221" i="5" s="1"/>
  <c r="F104" i="5"/>
  <c r="F3" i="5"/>
  <c r="H156" i="5"/>
  <c r="F384" i="5"/>
  <c r="F408" i="5"/>
  <c r="F144" i="5"/>
  <c r="F21" i="5"/>
  <c r="C5" i="4"/>
  <c r="F41" i="5"/>
  <c r="F156" i="5"/>
  <c r="F257" i="5"/>
  <c r="F281" i="5"/>
  <c r="H122" i="5"/>
  <c r="G441" i="5"/>
  <c r="H21" i="5"/>
  <c r="H171" i="5"/>
  <c r="G408" i="5"/>
  <c r="E5" i="4"/>
  <c r="F441" i="5"/>
  <c r="G384" i="5"/>
  <c r="H257" i="5"/>
  <c r="H41" i="5"/>
  <c r="H144" i="5"/>
  <c r="H104" i="5"/>
  <c r="H281" i="5"/>
  <c r="H3" i="5"/>
  <c r="H197" i="5"/>
  <c r="G144" i="5"/>
  <c r="G41" i="5"/>
  <c r="G104" i="5"/>
  <c r="D5" i="4"/>
  <c r="G3" i="5"/>
  <c r="G122" i="5"/>
  <c r="G21" i="5"/>
  <c r="A1" i="1" l="1"/>
  <c r="A2" i="12"/>
  <c r="H36" i="5"/>
  <c r="F137" i="5"/>
  <c r="A143" i="5"/>
  <c r="A155" i="5" s="1"/>
  <c r="I225" i="5"/>
  <c r="H225" i="5" s="1"/>
  <c r="H286" i="5"/>
  <c r="G287" i="5" s="1"/>
  <c r="D21" i="3" s="1"/>
  <c r="F293" i="5"/>
  <c r="G293" i="5"/>
  <c r="G297" i="5" s="1"/>
  <c r="G301" i="5" s="1"/>
  <c r="G302" i="5" s="1"/>
  <c r="I229" i="5"/>
  <c r="H229" i="5" s="1"/>
  <c r="I227" i="5"/>
  <c r="H227" i="5" s="1"/>
  <c r="G164" i="5"/>
  <c r="G462" i="5" s="1"/>
  <c r="F7" i="5"/>
  <c r="G113" i="5"/>
  <c r="H113" i="5"/>
  <c r="F113" i="5"/>
  <c r="C77" i="17"/>
  <c r="G182" i="5"/>
  <c r="H9" i="5"/>
  <c r="F287" i="5"/>
  <c r="C21" i="3" s="1"/>
  <c r="G110" i="5"/>
  <c r="H270" i="5"/>
  <c r="F35" i="5"/>
  <c r="F36" i="5" s="1"/>
  <c r="D23" i="4"/>
  <c r="D214" i="5"/>
  <c r="I214" i="5" s="1"/>
  <c r="I241" i="5"/>
  <c r="E30" i="3" s="1"/>
  <c r="E32" i="3" s="1"/>
  <c r="H7" i="5"/>
  <c r="C74" i="17"/>
  <c r="C73" i="17"/>
  <c r="F28" i="5"/>
  <c r="H110" i="5"/>
  <c r="F9" i="5"/>
  <c r="C70" i="17"/>
  <c r="F25" i="5"/>
  <c r="G12" i="5"/>
  <c r="G29" i="5"/>
  <c r="C13" i="3"/>
  <c r="G27" i="5"/>
  <c r="H272" i="5"/>
  <c r="G272" i="5" s="1"/>
  <c r="F12" i="5"/>
  <c r="G28" i="5"/>
  <c r="F164" i="5"/>
  <c r="H301" i="5"/>
  <c r="E36" i="3" s="1"/>
  <c r="E37" i="3" s="1"/>
  <c r="F29" i="5"/>
  <c r="C76" i="17"/>
  <c r="C75" i="17"/>
  <c r="F27" i="5"/>
  <c r="F15" i="5"/>
  <c r="C72" i="17"/>
  <c r="F110" i="5"/>
  <c r="F464" i="5"/>
  <c r="G25" i="5"/>
  <c r="H12" i="5"/>
  <c r="F182" i="5"/>
  <c r="C71" i="17"/>
  <c r="G35" i="5"/>
  <c r="G36" i="5" s="1"/>
  <c r="G9" i="5"/>
  <c r="H29" i="5"/>
  <c r="H28" i="5"/>
  <c r="H27" i="5"/>
  <c r="G153" i="5"/>
  <c r="B2" i="19"/>
  <c r="A10" i="12"/>
  <c r="F119" i="5" l="1"/>
  <c r="F30" i="5"/>
  <c r="F38" i="5" s="1"/>
  <c r="F18" i="5"/>
  <c r="G119" i="5"/>
  <c r="H119" i="5"/>
  <c r="E19" i="1" s="1"/>
  <c r="H30" i="5"/>
  <c r="H38" i="5" s="1"/>
  <c r="G30" i="5"/>
  <c r="G38" i="5" s="1"/>
  <c r="H18" i="5"/>
  <c r="C19" i="1"/>
  <c r="D19" i="1"/>
  <c r="A170" i="5"/>
  <c r="B12" i="3" s="1"/>
  <c r="B11" i="3"/>
  <c r="C80" i="17"/>
  <c r="E80" i="17" s="1"/>
  <c r="E89" i="17" s="1"/>
  <c r="E100" i="17" s="1"/>
  <c r="F302" i="5"/>
  <c r="F297" i="5"/>
  <c r="I226" i="5"/>
  <c r="H226" i="5" s="1"/>
  <c r="F272" i="5"/>
  <c r="F180" i="5"/>
  <c r="H287" i="5"/>
  <c r="E21" i="3" s="1"/>
  <c r="C17" i="1"/>
  <c r="D11" i="3"/>
  <c r="I219" i="5"/>
  <c r="D219" i="5"/>
  <c r="I253" i="5"/>
  <c r="H253" i="5"/>
  <c r="E20" i="1"/>
  <c r="E17" i="1"/>
  <c r="C18" i="1"/>
  <c r="G267" i="5"/>
  <c r="D20" i="3" s="1"/>
  <c r="D17" i="1"/>
  <c r="D20" i="1"/>
  <c r="H267" i="5"/>
  <c r="G7" i="5"/>
  <c r="G18" i="5" s="1"/>
  <c r="E18" i="1"/>
  <c r="H302" i="5"/>
  <c r="D18" i="1"/>
  <c r="C23" i="4"/>
  <c r="C22" i="4" s="1"/>
  <c r="C11" i="3"/>
  <c r="F462" i="5"/>
  <c r="C20" i="1"/>
  <c r="H274" i="5"/>
  <c r="G270" i="5"/>
  <c r="G274" i="5" s="1"/>
  <c r="G180" i="5"/>
  <c r="G183" i="5" s="1"/>
  <c r="G184" i="5" s="1"/>
  <c r="D12" i="3" s="1"/>
  <c r="E12" i="3"/>
  <c r="E17" i="3" s="1"/>
  <c r="A187" i="5" l="1"/>
  <c r="A196" i="5" s="1"/>
  <c r="A210" i="5" s="1"/>
  <c r="D24" i="1"/>
  <c r="I231" i="5"/>
  <c r="C30" i="3" s="1"/>
  <c r="C32" i="3" s="1"/>
  <c r="E24" i="1"/>
  <c r="C24" i="1"/>
  <c r="H231" i="5"/>
  <c r="F183" i="5"/>
  <c r="F184" i="5" s="1"/>
  <c r="C12" i="3" s="1"/>
  <c r="C17" i="3" s="1"/>
  <c r="F463" i="5"/>
  <c r="F466" i="5" s="1"/>
  <c r="C10" i="1"/>
  <c r="D17" i="3"/>
  <c r="H470" i="5"/>
  <c r="G474" i="5" s="1"/>
  <c r="E20" i="3"/>
  <c r="E24" i="3" s="1"/>
  <c r="C11" i="1"/>
  <c r="E11" i="1"/>
  <c r="D10" i="1"/>
  <c r="D11" i="1"/>
  <c r="B16" i="3"/>
  <c r="E10" i="1"/>
  <c r="E14" i="1" l="1"/>
  <c r="E26" i="1" s="1"/>
  <c r="C14" i="1"/>
  <c r="C26" i="1" s="1"/>
  <c r="C12" i="4" s="1"/>
  <c r="H474" i="5"/>
  <c r="D24" i="3"/>
  <c r="D26" i="3" s="1"/>
  <c r="D39" i="3" s="1"/>
  <c r="E26" i="3"/>
  <c r="E39" i="3" s="1"/>
  <c r="A256" i="5"/>
  <c r="B30" i="3"/>
  <c r="G466" i="5"/>
  <c r="H466" i="5"/>
  <c r="D14" i="1"/>
  <c r="D26" i="1" s="1"/>
  <c r="D30" i="1" s="1"/>
  <c r="D12" i="4" s="1"/>
  <c r="E30" i="1" l="1"/>
  <c r="C30" i="1"/>
  <c r="A280" i="5"/>
  <c r="B20" i="3"/>
  <c r="E12" i="4" l="1"/>
  <c r="A289" i="5"/>
  <c r="B21" i="3"/>
  <c r="E16" i="4" l="1"/>
  <c r="E25" i="4" s="1"/>
  <c r="E42" i="3" s="1"/>
  <c r="E50" i="3" s="1"/>
  <c r="A306" i="5"/>
  <c r="B35" i="3" s="1"/>
  <c r="B23" i="3" s="1"/>
  <c r="E18" i="4" l="1"/>
  <c r="D10" i="4"/>
  <c r="D16" i="4" s="1"/>
  <c r="D18" i="4" s="1"/>
  <c r="C10" i="4"/>
  <c r="A321" i="5"/>
  <c r="A348" i="5" s="1"/>
  <c r="A358" i="5" s="1"/>
  <c r="A402" i="5" s="1"/>
  <c r="A421" i="5" s="1"/>
  <c r="A427" i="5" s="1"/>
  <c r="A449" i="5" s="1"/>
  <c r="A452" i="5" s="1"/>
  <c r="A477" i="5" s="1"/>
  <c r="F267" i="5"/>
  <c r="C20" i="3" s="1"/>
  <c r="F270" i="5"/>
  <c r="F274" i="5" s="1"/>
  <c r="D25" i="4" l="1"/>
  <c r="D42" i="3" s="1"/>
  <c r="D50" i="3" s="1"/>
  <c r="C16" i="4"/>
  <c r="C25" i="4" s="1"/>
  <c r="C42" i="3" s="1"/>
  <c r="C24" i="3"/>
  <c r="F470" i="5"/>
  <c r="F474" i="5" s="1"/>
  <c r="C18" i="4" l="1"/>
  <c r="C26" i="3"/>
  <c r="C39" i="3" s="1"/>
  <c r="C50" i="3" s="1"/>
</calcChain>
</file>

<file path=xl/sharedStrings.xml><?xml version="1.0" encoding="utf-8"?>
<sst xmlns="http://schemas.openxmlformats.org/spreadsheetml/2006/main" count="3186" uniqueCount="1375">
  <si>
    <t>c) Revenue recognition</t>
  </si>
  <si>
    <t>Interest revenue</t>
  </si>
  <si>
    <t>Cash flows from Investing Activities</t>
  </si>
  <si>
    <t>Proceeds from Sale of PPE (and Intangibles)</t>
  </si>
  <si>
    <t>Purchase of PPE (and Intangibles)</t>
  </si>
  <si>
    <t>Purchase of Investments</t>
  </si>
  <si>
    <t>Proceeds from Sale of Investments</t>
  </si>
  <si>
    <t>Net cash from /  (to) the Investing Activities</t>
  </si>
  <si>
    <t>Cash flows from Financing Activities</t>
  </si>
  <si>
    <t>Furniture and Equipment Grant</t>
  </si>
  <si>
    <t>Finance Lease Payments</t>
  </si>
  <si>
    <t xml:space="preserve">Painting contract payments </t>
  </si>
  <si>
    <t>Loans Received/ Repayment of Loans</t>
  </si>
  <si>
    <t>Net cash from Financing Activities</t>
  </si>
  <si>
    <t>Net increase/(decrease) in cash and cash equivalents</t>
  </si>
  <si>
    <t>Abridged Trial Balance</t>
  </si>
  <si>
    <t>Cash and cash equivalents at the beginning of the year</t>
  </si>
  <si>
    <t>Cash and cash equivalents at the end of the year</t>
  </si>
  <si>
    <t>The above Cash Flow Statement should be read in conjunction with the accompanying notes.</t>
  </si>
  <si>
    <r>
      <t>Goods and Services Tax (</t>
    </r>
    <r>
      <rPr>
        <sz val="10"/>
        <rFont val="Arial"/>
        <family val="2"/>
      </rPr>
      <t>net</t>
    </r>
    <r>
      <rPr>
        <sz val="10"/>
        <color indexed="8"/>
        <rFont val="Arial"/>
        <family val="2"/>
      </rPr>
      <t>)</t>
    </r>
  </si>
  <si>
    <t>PBE Accounting Standards Reduced Disclosure Regime</t>
  </si>
  <si>
    <t>These financial statements are presented in New Zealand dollars, rounded to the nearest dollar.</t>
  </si>
  <si>
    <t>Ent</t>
  </si>
  <si>
    <t>BOT Election Grant</t>
  </si>
  <si>
    <t>Attached Teachers RVI</t>
  </si>
  <si>
    <t>Attached Teachers RVI Travel</t>
  </si>
  <si>
    <t>DOA - Board Support</t>
  </si>
  <si>
    <t>DOA - Assessment &amp; Training</t>
  </si>
  <si>
    <t>ECC Moderate Bldg Knowledge</t>
  </si>
  <si>
    <t>ECC Moderate Dom</t>
  </si>
  <si>
    <t>ORS - Homai Campus School</t>
  </si>
  <si>
    <t>ORS - Aggregated (Admin)</t>
  </si>
  <si>
    <t>ORS - Aggregated (Travel)</t>
  </si>
  <si>
    <t>ORS Aggregated (Base)</t>
  </si>
  <si>
    <t>ECC Grants</t>
  </si>
  <si>
    <t>ECC Expense Recoveries</t>
  </si>
  <si>
    <t>Playground Donations&amp;Grants</t>
  </si>
  <si>
    <t>ECC Expenses (Grant)</t>
  </si>
  <si>
    <t>RNZF Reimbursements</t>
  </si>
  <si>
    <t>Auckland South VRC Income</t>
  </si>
  <si>
    <t>Auckland South VRC Expenses</t>
  </si>
  <si>
    <t>Northland VRC Income</t>
  </si>
  <si>
    <t>Northland VRC Expenses</t>
  </si>
  <si>
    <t>Auckland North VRC Income</t>
  </si>
  <si>
    <t>Auckland North VRC Expenses</t>
  </si>
  <si>
    <t>Nelson VRC - Income</t>
  </si>
  <si>
    <t>Nelson VRC Expenses</t>
  </si>
  <si>
    <t>Otago VRC - Income</t>
  </si>
  <si>
    <t>Otago VRC - Expenses</t>
  </si>
  <si>
    <t>Southland VRC - Income</t>
  </si>
  <si>
    <t>Southland VRC - Expenses</t>
  </si>
  <si>
    <t>Christchurch VRC - Income</t>
  </si>
  <si>
    <t>Christchurch VRC - Expenses</t>
  </si>
  <si>
    <t>Palmerston North VRC - Income</t>
  </si>
  <si>
    <t>Hamilton VRC - Income</t>
  </si>
  <si>
    <t>Music Income</t>
  </si>
  <si>
    <t>Vehicle Rental/Lease</t>
  </si>
  <si>
    <t>Vehicle Rental/ Lease</t>
  </si>
  <si>
    <t>Vehicle Rental</t>
  </si>
  <si>
    <t>Legal Fees</t>
  </si>
  <si>
    <t>ASB Term Investment 87</t>
  </si>
  <si>
    <t>ASB Term Investment 89</t>
  </si>
  <si>
    <t>Work in progress playground</t>
  </si>
  <si>
    <t>Work in progress</t>
  </si>
  <si>
    <t>Hamilton VRC - Expenses</t>
  </si>
  <si>
    <t>Tauranga VRC - Income</t>
  </si>
  <si>
    <t>Tauranga VRC - Expenses</t>
  </si>
  <si>
    <t>Taranaki VRC - Income</t>
  </si>
  <si>
    <t>Taranaki VRC - Expenses</t>
  </si>
  <si>
    <t>Napier VRC - Income</t>
  </si>
  <si>
    <t>Napier VRC - Expenses</t>
  </si>
  <si>
    <t>Gisborne VRC - Income</t>
  </si>
  <si>
    <t>Gisborne VRC - Expenses</t>
  </si>
  <si>
    <t>Wellington VRC - Income</t>
  </si>
  <si>
    <t>Wellington VRC - Expenses</t>
  </si>
  <si>
    <t>Salaries - Banked Staffing Under-usage</t>
  </si>
  <si>
    <t>Programme Costs</t>
  </si>
  <si>
    <t>Premises Rental - Kelburn</t>
  </si>
  <si>
    <t>Regional Stationery</t>
  </si>
  <si>
    <t>ITM - Salary</t>
  </si>
  <si>
    <t>Music School Contract Workers</t>
  </si>
  <si>
    <t>ITM - Travel Reimbursements</t>
  </si>
  <si>
    <t>ITM - Equip Maintenance</t>
  </si>
  <si>
    <t>ITM - Consumables</t>
  </si>
  <si>
    <t>Recent Vision Loss</t>
  </si>
  <si>
    <t>K700</t>
  </si>
  <si>
    <t>Name:</t>
  </si>
  <si>
    <t>Cash from Operating Activities</t>
  </si>
  <si>
    <t>Operating Receipts</t>
  </si>
  <si>
    <t>(a) Government Grants</t>
  </si>
  <si>
    <t>Plus</t>
  </si>
  <si>
    <t>Less</t>
  </si>
  <si>
    <t>Risk Management Levy</t>
  </si>
  <si>
    <t>Code 0146</t>
  </si>
  <si>
    <t>International Student Levy</t>
  </si>
  <si>
    <t>Code 0145</t>
  </si>
  <si>
    <t>MOE Portion Teacher Laptops</t>
  </si>
  <si>
    <t>Code 0148</t>
  </si>
  <si>
    <t>Opening banking staffing debtor</t>
  </si>
  <si>
    <t>Opening Sundry Debtor</t>
  </si>
  <si>
    <t>Closing Sundry Debtor</t>
  </si>
  <si>
    <t>=</t>
  </si>
  <si>
    <t>(b) Other Revenue</t>
  </si>
  <si>
    <t>Local Funds Income</t>
  </si>
  <si>
    <t>Opening Income in Advance</t>
  </si>
  <si>
    <t>Closing Income in Advance</t>
  </si>
  <si>
    <t>Other Opening Sundry Debtor</t>
  </si>
  <si>
    <t>Other Closing Sundry Debtor</t>
  </si>
  <si>
    <t>Local Funds</t>
  </si>
  <si>
    <t>© Interest Received</t>
  </si>
  <si>
    <t>(d) International Students</t>
  </si>
  <si>
    <t>International Students Income</t>
  </si>
  <si>
    <t>(e) Hostel Fees</t>
  </si>
  <si>
    <t>Hostel Fees</t>
  </si>
  <si>
    <t>Total Receipts</t>
  </si>
  <si>
    <t>Payment to Suppliers</t>
  </si>
  <si>
    <t>(a) Total Expenditure (Per income Statement)</t>
  </si>
  <si>
    <t>Amortisation</t>
  </si>
  <si>
    <t>Movement</t>
  </si>
  <si>
    <t>Adjustment</t>
  </si>
  <si>
    <t>Other adjustment</t>
  </si>
  <si>
    <t>Total Payroll in Accounts</t>
  </si>
  <si>
    <t>Bad Debts</t>
  </si>
  <si>
    <t>Provision of Cyclical Maintenance (+ Decreased)</t>
  </si>
  <si>
    <t>PMS Liability increase plus loan repaid</t>
  </si>
  <si>
    <t>Use of Land &amp; Buildings</t>
  </si>
  <si>
    <t>Assets Write Off</t>
  </si>
  <si>
    <t>Code 2920</t>
  </si>
  <si>
    <t>Interest Paid Include Finance Lease interest</t>
  </si>
  <si>
    <t>Opening Creditors</t>
  </si>
  <si>
    <t>GST Exempt 2013</t>
  </si>
  <si>
    <t>Closing Creditors</t>
  </si>
  <si>
    <t>GST Exempt 2014</t>
  </si>
  <si>
    <t>Excludes Assets Creditors)</t>
  </si>
  <si>
    <t>Prepayment Movement (+ Increase / - Decrease)</t>
  </si>
  <si>
    <t>Stock Movement (+ Increase / - Decrease)</t>
  </si>
  <si>
    <t>Total Supplies</t>
  </si>
  <si>
    <t>Net GST (Plus if Debtors increase, minus if Creditors increases)</t>
  </si>
  <si>
    <t>Plus Interest Paid (Above)</t>
  </si>
  <si>
    <t>(b) Payments to Employees</t>
  </si>
  <si>
    <t>Total in accounts (above)</t>
  </si>
  <si>
    <t>Teachers Payroll Grant</t>
  </si>
  <si>
    <t>Total Payment to Employees</t>
  </si>
  <si>
    <t>© Net Funds Administered on Behalf of Third Parties</t>
  </si>
  <si>
    <t>Plus / Less</t>
  </si>
  <si>
    <t>Work in Progress Movement (D Codes)</t>
  </si>
  <si>
    <t>Third Parties eg RTLB</t>
  </si>
  <si>
    <t>Decrease in Creditors (Minus Increase)</t>
  </si>
  <si>
    <t>Decrease in Debtors (Plus Increase)</t>
  </si>
  <si>
    <t>Total Payments</t>
  </si>
  <si>
    <t>Nett Cash from Operating Activities</t>
  </si>
  <si>
    <t>Cash from Investing Activities</t>
  </si>
  <si>
    <t>Leasehold Assets Purchased</t>
  </si>
  <si>
    <t>Plus / minus Asset Creditors</t>
  </si>
  <si>
    <t>Investment Movement</t>
  </si>
  <si>
    <t>(+ Decrease of term investment or - Increase in Term Investment)</t>
  </si>
  <si>
    <t>= Net Cash from Investing Activities</t>
  </si>
  <si>
    <t>Cash from Financing Activities</t>
  </si>
  <si>
    <t>Furniture &amp; Equipment</t>
  </si>
  <si>
    <t>Painting Contract Payments</t>
  </si>
  <si>
    <t>Loans Received / Repayment of Loans</t>
  </si>
  <si>
    <t>= Net Cash from Financing Activities</t>
  </si>
  <si>
    <t>Net Increase / Decrease</t>
  </si>
  <si>
    <t>Beginning Cash &amp; Cash Equivalents</t>
  </si>
  <si>
    <t>Ending Cash &amp; Cash Equivalents</t>
  </si>
  <si>
    <t>Cash as per accounts</t>
  </si>
  <si>
    <t>Variance</t>
  </si>
  <si>
    <t>Includes Novopay errors</t>
  </si>
  <si>
    <t xml:space="preserve">Less other expenses </t>
  </si>
  <si>
    <t>Less non wages codes in admin wages</t>
  </si>
  <si>
    <t>46800,46820,46880,46885,46886</t>
  </si>
  <si>
    <t>57485;57487</t>
  </si>
  <si>
    <t>Less non wages codes in property wages</t>
  </si>
  <si>
    <t>Less non wages codes in vrc</t>
  </si>
  <si>
    <t>35205,62550,63550</t>
  </si>
  <si>
    <t>Other expenses</t>
  </si>
  <si>
    <t>Wages under Kickstart 32040</t>
  </si>
  <si>
    <t>37316,37730</t>
  </si>
  <si>
    <t>Less non wages codes in National assessment</t>
  </si>
  <si>
    <t>Less non wages codes in ORRS</t>
  </si>
  <si>
    <t>Less non wages codes in ORRS Orientation</t>
  </si>
  <si>
    <t>33502,33510</t>
  </si>
  <si>
    <t>Less non wages codes in residential</t>
  </si>
  <si>
    <t>38250,38260,38280</t>
  </si>
  <si>
    <t>Wages under Catering costs, Residential (38500,34700)</t>
  </si>
  <si>
    <t>Wages under Immersion(38940,38930,38929)</t>
  </si>
  <si>
    <t>Regional Cost 35171,35525,35900,60000,35160,60250</t>
  </si>
  <si>
    <t>Learning - PD 61800</t>
  </si>
  <si>
    <t>Unkown difference</t>
  </si>
  <si>
    <t>unkown difference</t>
  </si>
  <si>
    <t>Low Vision Year 13+</t>
  </si>
  <si>
    <t>Parent Courses</t>
  </si>
  <si>
    <t>BOT - Administration &amp; Sub</t>
  </si>
  <si>
    <t>BOT - Attendance Fees</t>
  </si>
  <si>
    <t>BOT - Elections</t>
  </si>
  <si>
    <t>BOT - Subscriptions</t>
  </si>
  <si>
    <t>BOT - Training</t>
  </si>
  <si>
    <t>BOT - Travel</t>
  </si>
  <si>
    <t>Building Servicing expenses</t>
  </si>
  <si>
    <t>Regional ORS Therapy</t>
  </si>
  <si>
    <t>Regional ORS Res Development</t>
  </si>
  <si>
    <t>Travel &amp; Accomodation</t>
  </si>
  <si>
    <t>Course Fees</t>
  </si>
  <si>
    <t>Course Materials</t>
  </si>
  <si>
    <t>Supervisory Travel &amp; Accom</t>
  </si>
  <si>
    <t>Massey Costs</t>
  </si>
  <si>
    <t>Massey Travel Costs</t>
  </si>
  <si>
    <t>RTV Travel &amp; Accom</t>
  </si>
  <si>
    <t>Relieving Teacher Days</t>
  </si>
  <si>
    <t>Resources</t>
  </si>
  <si>
    <t>Staff Training/Conference</t>
  </si>
  <si>
    <t>The school receives funding from the Ministry of Education.  The following are the main types of funding that the school receives;</t>
  </si>
  <si>
    <t>Teachers salaries grants are recorded as revenue when the school has the rights to the funding in the salary period they relate to.  The grants are not received in cash by the school and are paid directly to teachers by the Ministry of Education.</t>
  </si>
  <si>
    <t>Inventories are consumable items held for sale and comprise of stationery and school uniforms.  They are stated at the lower of cost and net realisable value. Cost is determined on a first in, first out basis.  Net realisable value is the estimated selling price in the ordinary course of activities less the estimated costs necessary to make the sale.  Thus the fair value of the inventory is determined based on the cost at time of purchase.  The write down from cost to net realisable value is recorded as an expense in the Statement of Comprehensive Revenue and Expense in the period of the write down.</t>
  </si>
  <si>
    <t>Gains and losses on disposals (i.e. sold or given away) are determined by comparing the proceeds received with the carrying amounts (i.e. the book value). The gain or loss arising from the disposal of an item of property, plant and equipment is recognised in the Statement of Comprehensive Revenue and Expense.</t>
  </si>
  <si>
    <t>Property, plant and equipment except for library resources are depreciated over their estimated useful lives on a straight line basis.  Library resources are depreciated on a diminishing value basis. Depreciation of all assets is reported in the Statement of Comprehensive Revenue and Expense.</t>
  </si>
  <si>
    <t>10-75 years</t>
  </si>
  <si>
    <t>Textbooks</t>
  </si>
  <si>
    <t>Leased assets held under a Finance Lease</t>
  </si>
  <si>
    <t>Net Surplus for the year Locally raised funds</t>
  </si>
  <si>
    <t>Equipment repairs</t>
  </si>
  <si>
    <t>Homai Campus Income</t>
  </si>
  <si>
    <t>Homai Campus Expenses</t>
  </si>
  <si>
    <t>Loss on Disposal of Property, Plant and Equipment</t>
  </si>
  <si>
    <t>Gain on Sale of Property, Plant and Equipment</t>
  </si>
  <si>
    <t>Salaries - Relievers</t>
  </si>
  <si>
    <t>Distance Braille Training/Salaries</t>
  </si>
  <si>
    <t>Distance Braille - Consumables</t>
  </si>
  <si>
    <t>PD Staffing</t>
  </si>
  <si>
    <t>PD Travel &amp; Accomodation</t>
  </si>
  <si>
    <t>PD Consumables</t>
  </si>
  <si>
    <t>Salaries - Residential Staff</t>
  </si>
  <si>
    <t>Salaries - Administration</t>
  </si>
  <si>
    <t>Salaries - Other</t>
  </si>
  <si>
    <t>Interest Accrual</t>
  </si>
  <si>
    <t>C201</t>
  </si>
  <si>
    <t>C523</t>
  </si>
  <si>
    <t>C524</t>
  </si>
  <si>
    <t>F/A Pur - Northland</t>
  </si>
  <si>
    <t>C678</t>
  </si>
  <si>
    <t>Donated Library books</t>
  </si>
  <si>
    <t>Operating Leases</t>
  </si>
  <si>
    <t>Cyclical maintenance</t>
  </si>
  <si>
    <t>Rates</t>
  </si>
  <si>
    <t>Bank Current account</t>
  </si>
  <si>
    <t xml:space="preserve">Bank Call account </t>
  </si>
  <si>
    <t>Short-term bank deposits with a maturity of three months or less</t>
  </si>
  <si>
    <t>Net cash and cash equivalents for cashflow statement</t>
  </si>
  <si>
    <t>The carrying value of short-term deposits with maturity dates of three months or less approximates their fair value.</t>
  </si>
  <si>
    <t>Interest accrued</t>
  </si>
  <si>
    <t>Receivables from Exhange transactions</t>
  </si>
  <si>
    <t>Receivables from non-exhange transactions</t>
  </si>
  <si>
    <t>The school's investment activities are classified as follows</t>
  </si>
  <si>
    <t>Short-term bank deposits with maturities greater than three months and</t>
  </si>
  <si>
    <t>no greater than one year.</t>
  </si>
  <si>
    <t>Non-current Asset</t>
  </si>
  <si>
    <t>Long-term bank deposits with maturities greater than one year</t>
  </si>
  <si>
    <t>Opening
Balance(NBV)</t>
  </si>
  <si>
    <t>Additions</t>
  </si>
  <si>
    <t>Disposals</t>
  </si>
  <si>
    <t>Impairment</t>
  </si>
  <si>
    <t>Total(NBV)</t>
  </si>
  <si>
    <t>Cost or
Valuation</t>
  </si>
  <si>
    <t>Accumulated
Depreciation</t>
  </si>
  <si>
    <t>Net Book
Value</t>
  </si>
  <si>
    <t>Operating Creditors</t>
  </si>
  <si>
    <t>Accruals</t>
  </si>
  <si>
    <t>Creditors and Accruals for PPE items</t>
  </si>
  <si>
    <t>Employee benefits - leave accrual</t>
  </si>
  <si>
    <t>Payable for exchange transactions</t>
  </si>
  <si>
    <t>Payable for non-exchange transactions - Taxes payable</t>
  </si>
  <si>
    <t>Payables for non-exchange transactions - other</t>
  </si>
  <si>
    <t>Adjustment to the provision</t>
  </si>
  <si>
    <t>Cyclical maintenance - Current</t>
  </si>
  <si>
    <t>Cyclical maintenance - Term</t>
  </si>
  <si>
    <t>Related party disclosures have not been made for transactions with related parties that are withing a normal supplier or client/recipient relationship on terms and condition no more or less favourable than those that it is reasonable to expect the school would have adopted in dealing with the party at arm's lenght in the same circumstances.  Further, transactions with other government agencies (for example Government departments, and Crown entities) are not disclosed as related party transactions when they are consistent with the normal operating arrangements between government agencies and undertaken on the normal terms and conditions for such transactions.</t>
  </si>
  <si>
    <t>Key management personnel compensation</t>
  </si>
  <si>
    <t>MOE Portion Operation Lease</t>
  </si>
  <si>
    <t>Jumpstart</t>
  </si>
  <si>
    <t>The school is an entity controlled by the Crown, and the Crown provides the major source of revenue to the school. The school enters
 into transactions with other entities also controlled by the Crown, such as government departments, state-owned enterprises and other Crown entities. Transactions with these entities are not disclosed as they occur on terms and conditions no more or less favourable than those that it is reasonable to expect the school would have adopted if dealing with that entity at arm’s length.</t>
  </si>
  <si>
    <t xml:space="preserve">The total value of remuneration paid or payable to the Principal was in the following bands: </t>
  </si>
  <si>
    <t>The number of other employees with remuneration greater than $100,000 was in the following bands</t>
  </si>
  <si>
    <t>FTE number</t>
  </si>
  <si>
    <t>Remuneration</t>
  </si>
  <si>
    <t>Events after balance date</t>
  </si>
  <si>
    <t>Managing capital</t>
  </si>
  <si>
    <t>The school's capital is its equity and comprises capital contributions from the ministry of Education for property, plant and equipment, and accumulated surpluses and deficits.  The school does not actively manage capital but "attempts" to ensure that income exceeds spending in most years.  Although deficits can arise as planned in particular years, they are offset by planned surpluses in previous years or ensuing years.</t>
  </si>
  <si>
    <t>The carrying amount of financial assets and liabilities in each of the financial instruments categories are as follows:</t>
  </si>
  <si>
    <t>Cash and receivables</t>
  </si>
  <si>
    <t>Receivables</t>
  </si>
  <si>
    <t>Investments - Term deposits</t>
  </si>
  <si>
    <t>Financial liabilities measured at amortised cost</t>
  </si>
  <si>
    <t>Payables</t>
  </si>
  <si>
    <t>Borrowings - Loans</t>
  </si>
  <si>
    <t>Finance leases</t>
  </si>
  <si>
    <t>Total Cash and Receivables</t>
  </si>
  <si>
    <t>Total financial liabilities measured at amortised cost</t>
  </si>
  <si>
    <t>LY</t>
  </si>
  <si>
    <t>Service providers, Contractors, and Consultancy</t>
  </si>
  <si>
    <t>The use of land and buildings figure represents 8% of the school's total property value.  This is used as a 'proxy' for the market rental 
of the property.  Property values are established as part of the nation-wide revaluation exercise that is conducted every 30 June for the Ministry of Education's year-end reporting purposes.</t>
  </si>
  <si>
    <t>Short-term employee entitlements</t>
  </si>
  <si>
    <t>Revenue</t>
  </si>
  <si>
    <t>Expenses</t>
  </si>
  <si>
    <t xml:space="preserve">    Trading</t>
  </si>
  <si>
    <t>4–5 years</t>
  </si>
  <si>
    <t>3 years</t>
  </si>
  <si>
    <t>Specific accounting policies</t>
  </si>
  <si>
    <t>Presentation currency</t>
  </si>
  <si>
    <t>The financial statements are prepared on the historical cost basis unless otherwise noted in a specific accounting policy.</t>
  </si>
  <si>
    <t>Measurement base</t>
  </si>
  <si>
    <t>Financial reporting standards applied</t>
  </si>
  <si>
    <t>b) Basis of Preparation</t>
  </si>
  <si>
    <t>a) Reporting Entity</t>
  </si>
  <si>
    <t>k) Property, Plant and Equipment</t>
  </si>
  <si>
    <t>Change "Crown" to "Proprietor" for catholic schools</t>
  </si>
  <si>
    <t>Property, plant and equipment are recorded at cost or, in the case of donated assets, fair value at the date of receipt, less accumulated depreciation and impairment losses.  Cost or fair value as the case may be, includes those costs that relate directly to bringing the asset to the location where it will be used and making sure it is in the appropriate condition for its intended use.</t>
  </si>
  <si>
    <t>Change value to last year accounts</t>
  </si>
  <si>
    <t xml:space="preserve">The carrying value of software is amortised on a straight line basis over its useful life.  The useful life of software is estimated as three years.  The amortisation charge for each period and any impairment loss is recorded in the Statement of Comprehensive Income. </t>
  </si>
  <si>
    <t>Change for catholic schools</t>
  </si>
  <si>
    <t>Government Grants</t>
  </si>
  <si>
    <t xml:space="preserve">Land and buildings owned by the Crown are excluded from these financial statements.  The Board’s use of the land and buildings as ‘occupant’ is based on a property occupancy document.  </t>
  </si>
  <si>
    <t>j) Investments</t>
  </si>
  <si>
    <t>i) Inventories</t>
  </si>
  <si>
    <t>h) Accounts Receivable</t>
  </si>
  <si>
    <t>g) Cash and Cash Equivalents</t>
  </si>
  <si>
    <t>Finance lease payments are apportioned between the finance charge and the reduction of the outstanding liability.  The finance charge is allocated to each period during the lease term on an effective interest basis.</t>
  </si>
  <si>
    <t xml:space="preserve">f) Finance Lease Payments </t>
  </si>
  <si>
    <t>e) Operating Lease Payments</t>
  </si>
  <si>
    <t>d) Use of Land and Buildings Expense</t>
  </si>
  <si>
    <t>Donations</t>
  </si>
  <si>
    <t>Payroll reconciliation</t>
  </si>
  <si>
    <t>Teacher salaries</t>
  </si>
  <si>
    <t>GL</t>
  </si>
  <si>
    <t>SAAR</t>
  </si>
  <si>
    <t>Error report</t>
  </si>
  <si>
    <t>Bulk Grant salaries</t>
  </si>
  <si>
    <t>Learning wages</t>
  </si>
  <si>
    <t>Admin Wages</t>
  </si>
  <si>
    <t>Property Wages</t>
  </si>
  <si>
    <t>National Assesment</t>
  </si>
  <si>
    <t>Activities/Trading</t>
  </si>
  <si>
    <t>ORRS wages</t>
  </si>
  <si>
    <t>ORRS Orientation and Mobility</t>
  </si>
  <si>
    <t>National assesment under catering code 37500</t>
  </si>
  <si>
    <t>Music Teacher  35800</t>
  </si>
  <si>
    <t>(SAAR)</t>
  </si>
  <si>
    <t>Index</t>
  </si>
  <si>
    <t>Page</t>
  </si>
  <si>
    <t>Statement</t>
  </si>
  <si>
    <t>Statement of Comprehensive Revenue and Expenses</t>
  </si>
  <si>
    <t>Statement of Changes in Net Assets/Equity</t>
  </si>
  <si>
    <t>Cashflow Statement</t>
  </si>
  <si>
    <t>Statement of Accounting Policies</t>
  </si>
  <si>
    <t>The Board of Trustees accepts responsibility for the preparation of the annual financial statements</t>
  </si>
  <si>
    <t>and the judgements used in these financial statements.</t>
  </si>
  <si>
    <t>The management (including the principal and others as directed by the Board) accepts responsibility</t>
  </si>
  <si>
    <t>for establishing and maintaining a system of internal controls designed to provide reasonable</t>
  </si>
  <si>
    <t>assurance as to the integrity and reliability of the school's financial reporting.</t>
  </si>
  <si>
    <t>It is the opinion of the Board and management that the annual financial statements for the financial year</t>
  </si>
  <si>
    <t>Full Name of Board Chairperson</t>
  </si>
  <si>
    <t>Full Name of Principal</t>
  </si>
  <si>
    <t>Signature of Board Chairperson</t>
  </si>
  <si>
    <t>Signature of Principal</t>
  </si>
  <si>
    <t>Date:</t>
  </si>
  <si>
    <t>The Board of Trustees (the Board) has pleasure in presenting the annual report of Blind and Low Vision</t>
  </si>
  <si>
    <t>Education Network NZ incorporating the financial statements and the auditor's report, for the year ended</t>
  </si>
  <si>
    <t>(Unaudited)</t>
  </si>
  <si>
    <t>Locally raised funds</t>
  </si>
  <si>
    <t>Gain on sale of plant &amp; equipment</t>
  </si>
  <si>
    <t>Other comprehensive revenue &amp; expenses</t>
  </si>
  <si>
    <t>Total comprehensive revenue &amp;</t>
  </si>
  <si>
    <t>expenses for the year</t>
  </si>
  <si>
    <t>Balance at 1 January</t>
  </si>
  <si>
    <t>Total comprehensive revenue and expenses for the year</t>
  </si>
  <si>
    <t>Owner transactions</t>
  </si>
  <si>
    <t xml:space="preserve">   Contribution - Furniture and Equipment grant</t>
  </si>
  <si>
    <t>Retained Earnings</t>
  </si>
  <si>
    <t>Reserves</t>
  </si>
  <si>
    <t>GST Receivable</t>
  </si>
  <si>
    <t>Revenue received in advance</t>
  </si>
  <si>
    <t>Working Capital Surplus or (Deficit)</t>
  </si>
  <si>
    <t>Note</t>
  </si>
  <si>
    <t>Budget (Unaudited)</t>
  </si>
  <si>
    <t>Cash flows from Operating Activities</t>
  </si>
  <si>
    <t>Locally Raised Funds</t>
  </si>
  <si>
    <t>International Students</t>
  </si>
  <si>
    <t>Payments to Employees</t>
  </si>
  <si>
    <t>Payments to Suppliers</t>
  </si>
  <si>
    <t>Interest Paid</t>
  </si>
  <si>
    <t xml:space="preserve">Net cash from / (to) the Operating Activities </t>
  </si>
  <si>
    <t>Revenue received in advance relates to fees received from (international, hostel students and grants received) where there are unfulfilled obligations for the school to provide services in the future.  The fees are recorded as revenue as the obligations are fulfilled and the fees earned.</t>
  </si>
  <si>
    <t>150-160</t>
  </si>
  <si>
    <t xml:space="preserve">     Donations - Playground</t>
  </si>
  <si>
    <t>The Education Act 1989 requires the school, as a Crown entity, to prepare financial statements in accordance with generally accepted accounting practice. The financial statements have been prepared in accordance with generally accepted accounting practice in New Zealand, applying PBE Accounting standards (PBE IPSAS) reduced disclosure regime as appropriate to public benefit entities that qualify for Tier 2 reporting.  The school is considered a Public Benefit Entity as it meets the citeria specified as "having a primary objective to provide goods and/or services for community or social benefit and where any equity has been provided with a view to supporting that primary objective rather than for financial return to equity holders".</t>
  </si>
  <si>
    <t>Donations, gifts and bequests are recorded as revenue when their receipt is formally acknowledged by the school.</t>
  </si>
  <si>
    <t>The property from which the school operates is owned by the Crown and managed by the Ministry of Education on behalf of the Crown.  The school’s use of the land and buildings as occupant is based on a property occupancy document as gazetted by the Ministry.  The expense is based on an assumed market rental yield on the value of land and buildings as used for rating purposes.  This is a non-cash expense that is offset by a non-cash grant from the Ministry.</t>
  </si>
  <si>
    <t>The school has met the requirements under section 73 of the Education Act 1989 in relation to the acquisition of securities.</t>
  </si>
  <si>
    <t>Loss on sale of asset</t>
  </si>
  <si>
    <t>Leases where the school assumes substantially all the risks and rewards of ownership are classified as finance leases.  The assets acquired by way of finance lease are measured at an amount equal to the lower of their fair value and the present value of the minimum lease payments at inception of the lease, less accumulated depreciation and impairment losses. Leased assets and corresponding liability are recognised in the Statement of Financial Position and leased assets are depreciated over the period the school is expected to benefit from their use or over the term of the lease.</t>
  </si>
  <si>
    <t>Computer software acquired by the school is capitalised on the basis of the costs incurred to acquire and bring to use the specific software.  Costs associated with subsequent maintenance or licensing of software are recognised as an expense in the Statement of Comprehensive Income when incurred.</t>
  </si>
  <si>
    <t>Excl GST</t>
  </si>
  <si>
    <t>Don't include profit on disposal</t>
  </si>
  <si>
    <t>Accounts Payable represents liabilities for goods and services provided to the school prior to the end of the financial year which are unpaid.  Accounts Payable are recorded at the amount of cash required to settle those liabilities. The amounts are unsecured and are usually paid within 30 days of recognition.</t>
  </si>
  <si>
    <t xml:space="preserve">The school holds sufficient funds to enable the refund of unearned fees in relation to international students, should the school be unable to provide the services to which they relate.  </t>
  </si>
  <si>
    <t>Funds are held in trust where they have been received by the school for a specified purpose.  The school holds sufficient funds to enable the funds to be used for their intended purpose at any time.</t>
  </si>
  <si>
    <t>Shared Funds are held on behalf of participating schools within a cluster of schools.  The school holds sufficient funds to enable the funds to be used for their intended purpose.</t>
  </si>
  <si>
    <t>The property from which the school operates is owned by the Crown, and is vested in the Ministry.  The Ministry has gazetted a property occupancy document that sets out the Board’s property maintenance responsibilities. The Board is responsible for maintaining the land, buildings and other facilities on the school site in a state of good order and repair.</t>
  </si>
  <si>
    <t>Cyclical maintenance, which involves painting the interior and exterior of the school, makes up the most significant part of the Board’s responsibilities outside day-to-day maintenance. The provision for cyclical maintenance represents the obligation the Board has to the Ministry and is based on the Board’s ten year property plan (10YPP).</t>
  </si>
  <si>
    <t xml:space="preserve">The school’s financial assets comprise cash and cash equivalents, accounts receivable, and investments.  All of these financial assets, except for investments that are shares, are categorised as “loans and receivables” for accounting purposes in accordance with financial reporting standards.  </t>
  </si>
  <si>
    <t>The school’s financial liabilities comprise accounts payable, funds held on behalf of the Ministry of Education, and painting contract liability.  All of these financial liabilities are categorised as “financial liabilities measured at amortised cost” for accounting purposes in accordance with financial reporting standards.</t>
  </si>
  <si>
    <t xml:space="preserve">Borrowings are recognised at the amount borrowed.  Borrowings are classified as current liabilities unless the school has an unconditional right to defer settlement of the liability for at least 12 months after the balance date. </t>
  </si>
  <si>
    <t>The budget figures are extracted from the school budget that was approved by the Board at the start of the year.</t>
  </si>
  <si>
    <t>December</t>
  </si>
  <si>
    <t>Risk Management Premium</t>
  </si>
  <si>
    <t>* OPERATING GRANT</t>
  </si>
  <si>
    <t>Operating Grant</t>
  </si>
  <si>
    <t>Banked Staffing Under-Usage</t>
  </si>
  <si>
    <t>Kiwisport Grant</t>
  </si>
  <si>
    <t>Residential Grant</t>
  </si>
  <si>
    <t>Music School Income</t>
  </si>
  <si>
    <t>Visual Resource Centre</t>
  </si>
  <si>
    <t>Teachers Salaries Grant</t>
  </si>
  <si>
    <t>* OTHER GOVERNMENT GRANTS</t>
  </si>
  <si>
    <t>Teacher Aide PD MOE grants</t>
  </si>
  <si>
    <t>* OTHER GRANTS</t>
  </si>
  <si>
    <t>ACC Teacher Aide</t>
  </si>
  <si>
    <t>Other Grants</t>
  </si>
  <si>
    <t>National Assessment Recoveries</t>
  </si>
  <si>
    <t>Maori Research Project</t>
  </si>
  <si>
    <t>Vision Edu Agency Contract</t>
  </si>
  <si>
    <t>* INVESTMENT INCOME</t>
  </si>
  <si>
    <t>Interest Received</t>
  </si>
  <si>
    <t>** LOCALLY RAISED FUNDS</t>
  </si>
  <si>
    <t>* FUNDRAISING</t>
  </si>
  <si>
    <t>Donations -Parents</t>
  </si>
  <si>
    <t>Donations - Other</t>
  </si>
  <si>
    <t>Commissions</t>
  </si>
  <si>
    <t>Fundraising Income</t>
  </si>
  <si>
    <t>Fundraising Expenditure</t>
  </si>
  <si>
    <t>Immersion Course Accommodation</t>
  </si>
  <si>
    <t>Sponsorships Received</t>
  </si>
  <si>
    <t>Sundry Income</t>
  </si>
  <si>
    <t>Sundry Expenditure</t>
  </si>
  <si>
    <t>Use of Land and Buildings</t>
  </si>
  <si>
    <t>* ACTIVITIES</t>
  </si>
  <si>
    <t>Activities Income</t>
  </si>
  <si>
    <t>Activities Expenditure</t>
  </si>
  <si>
    <t>ICT Cluster  - MOE Contract</t>
  </si>
  <si>
    <t>Staff Travel &amp; Accommodation</t>
  </si>
  <si>
    <t>Kickstart Income</t>
  </si>
  <si>
    <t>Kickstart Expenditure</t>
  </si>
  <si>
    <t>Hostel Income</t>
  </si>
  <si>
    <t>Hostel Expense</t>
  </si>
  <si>
    <t>Itinerant Income</t>
  </si>
  <si>
    <t>Itinerant Inservice Expense</t>
  </si>
  <si>
    <t>Braille Training Inc</t>
  </si>
  <si>
    <t>Braille Training Exp</t>
  </si>
  <si>
    <t>O&amp;M Income</t>
  </si>
  <si>
    <t>* TRADING</t>
  </si>
  <si>
    <t>Hire School Facilities Income</t>
  </si>
  <si>
    <t>Hire School Facilities Expd</t>
  </si>
  <si>
    <t>Rental Income</t>
  </si>
  <si>
    <t>Rental Expenditure</t>
  </si>
  <si>
    <t>Hostels Trading Income</t>
  </si>
  <si>
    <t>Hostels Trading Expenditure</t>
  </si>
  <si>
    <t>Vision Clinic Trading Income</t>
  </si>
  <si>
    <t>Vision Clinic Trading Expd</t>
  </si>
  <si>
    <t>Palmerston North VRC - Expense</t>
  </si>
  <si>
    <t>** DEPRECIATION</t>
  </si>
  <si>
    <t>* CYCLICAL MAINTENANCE</t>
  </si>
  <si>
    <t>Cyclical Maintenance</t>
  </si>
  <si>
    <t>R&amp;M - Classroom Equipment</t>
  </si>
  <si>
    <t>R&amp;M - Computer Equipment</t>
  </si>
  <si>
    <t>Reimbursements</t>
  </si>
  <si>
    <t>Subscriptions</t>
  </si>
  <si>
    <t>Telephone/Tolls/Faxes</t>
  </si>
  <si>
    <t>Salaries - Ancillary</t>
  </si>
  <si>
    <t>Annual Leave Expenses</t>
  </si>
  <si>
    <t>Salaries - Relieving - Sick</t>
  </si>
  <si>
    <t>Teachers Salaries</t>
  </si>
  <si>
    <t>Acc Funded Teacher Aide</t>
  </si>
  <si>
    <t>Prof Dev - Training &amp; Travel</t>
  </si>
  <si>
    <t>Classrooms</t>
  </si>
  <si>
    <t>Nz Curriculum</t>
  </si>
  <si>
    <t>Expanded Core Curriculum</t>
  </si>
  <si>
    <t>Photocopying</t>
  </si>
  <si>
    <t>Esol</t>
  </si>
  <si>
    <t>Ict-Consumables</t>
  </si>
  <si>
    <t>Star Courses</t>
  </si>
  <si>
    <t>Special Education</t>
  </si>
  <si>
    <t>Tela Teachers Laptop Lease</t>
  </si>
  <si>
    <t>General Consumables</t>
  </si>
  <si>
    <t>Stationery</t>
  </si>
  <si>
    <t>Postage</t>
  </si>
  <si>
    <t>Playground Consumables</t>
  </si>
  <si>
    <t>Jchs-Rent</t>
  </si>
  <si>
    <t>Jchs-Consumables</t>
  </si>
  <si>
    <t>Curriculum Resources</t>
  </si>
  <si>
    <t>Jchs-Telephone/Tolls/Faxes</t>
  </si>
  <si>
    <t>Food</t>
  </si>
  <si>
    <t>Salaries - Kickstart</t>
  </si>
  <si>
    <t>Teacher Aides/Asst Salaries</t>
  </si>
  <si>
    <t>Acc Levies</t>
  </si>
  <si>
    <t>Recruitment/Advertising</t>
  </si>
  <si>
    <t>Training &amp; Developemet</t>
  </si>
  <si>
    <t>Allowances</t>
  </si>
  <si>
    <t>Salaries</t>
  </si>
  <si>
    <t>Tactile Production</t>
  </si>
  <si>
    <t>Volunteer Expenses</t>
  </si>
  <si>
    <t>Adviser to the Deaf</t>
  </si>
  <si>
    <t>Petrol</t>
  </si>
  <si>
    <t>Vehicle Registration</t>
  </si>
  <si>
    <t>Vehicle R&amp;M</t>
  </si>
  <si>
    <t>Vehicle Lease</t>
  </si>
  <si>
    <t>Vehicle Insurance</t>
  </si>
  <si>
    <t>Speech Language Therapy</t>
  </si>
  <si>
    <t>Occupational Therapy</t>
  </si>
  <si>
    <t>Physiotheraphy</t>
  </si>
  <si>
    <t>Horticultural Therapist</t>
  </si>
  <si>
    <t>Riding For Disabled</t>
  </si>
  <si>
    <t>Music Therapy</t>
  </si>
  <si>
    <t>Orientation &amp; Mobility-School</t>
  </si>
  <si>
    <t>Slt, Ot &amp; Physiotherapy</t>
  </si>
  <si>
    <t>Orientation &amp; Mob-Kickstart</t>
  </si>
  <si>
    <t>Psychologist Support From Gse</t>
  </si>
  <si>
    <t>Teacher Aide Time</t>
  </si>
  <si>
    <t>Braille Music</t>
  </si>
  <si>
    <t>Music Therapist</t>
  </si>
  <si>
    <t>Alternative Therapy</t>
  </si>
  <si>
    <t>Interpreter Expenses</t>
  </si>
  <si>
    <t>Taxi Escorts</t>
  </si>
  <si>
    <t>Student Consumables Ors</t>
  </si>
  <si>
    <t>Rubbish Disposal - Nappies</t>
  </si>
  <si>
    <t>Laundry</t>
  </si>
  <si>
    <t>General Stores</t>
  </si>
  <si>
    <t>Food Programme Costs</t>
  </si>
  <si>
    <t>Courier</t>
  </si>
  <si>
    <t>Braille Music Teacher Contract</t>
  </si>
  <si>
    <t>Printing/Stationery</t>
  </si>
  <si>
    <t>Staff Technical Support</t>
  </si>
  <si>
    <t>Travel/Accommodation</t>
  </si>
  <si>
    <t>Consultancy - Rnzfb</t>
  </si>
  <si>
    <t>Consultancy - Moving Forward</t>
  </si>
  <si>
    <t>O&amp;M Website Resource</t>
  </si>
  <si>
    <t>Teacher Aide PD</t>
  </si>
  <si>
    <t>Projects - Vea</t>
  </si>
  <si>
    <t>Kapo Maori Research Project</t>
  </si>
  <si>
    <t>South Auckland Project Trust</t>
  </si>
  <si>
    <t>South Auck Project Trust Exp</t>
  </si>
  <si>
    <t>Staffing</t>
  </si>
  <si>
    <t>Telephone/Tolls/Fax</t>
  </si>
  <si>
    <t>Publications</t>
  </si>
  <si>
    <t>Staff Training/Conferences</t>
  </si>
  <si>
    <t>Staff Travel/Accommodation</t>
  </si>
  <si>
    <t>Telephone/Tolls/Fax Ict Co-Ord</t>
  </si>
  <si>
    <t>Photocopying Ict Co-Ord</t>
  </si>
  <si>
    <t>Printing/Stationery Ict Co-Ord</t>
  </si>
  <si>
    <t>Consumables Ict Co-Ord</t>
  </si>
  <si>
    <t>Ict Expenses Ict Co-Ord</t>
  </si>
  <si>
    <t>Publications Itc Co-Ord</t>
  </si>
  <si>
    <t>Staff Training/Conferences Ict</t>
  </si>
  <si>
    <t>Staff Travel/Accomodation</t>
  </si>
  <si>
    <t>Telephone Rental/Tolls/Fax</t>
  </si>
  <si>
    <t>Vehicle Maintenance</t>
  </si>
  <si>
    <t>Property Rental Auck Vrc</t>
  </si>
  <si>
    <t>Equipment Maintenance</t>
  </si>
  <si>
    <t>Subs/Membership Fees</t>
  </si>
  <si>
    <t>Renovations</t>
  </si>
  <si>
    <t>Muffin Break expense</t>
  </si>
  <si>
    <t>Regional Network Staffing</t>
  </si>
  <si>
    <t>Lower Ni Regional Meetings</t>
  </si>
  <si>
    <t>South Island Regional Meetings</t>
  </si>
  <si>
    <t>Regional Network Staffing Oper</t>
  </si>
  <si>
    <t>Upper Ni Regional Meetings</t>
  </si>
  <si>
    <t>Resource Production</t>
  </si>
  <si>
    <t>Working Party / Ref Grp Mtgs</t>
  </si>
  <si>
    <t>Itinerant Music</t>
  </si>
  <si>
    <t>Telephone</t>
  </si>
  <si>
    <t>Printing / Stationery</t>
  </si>
  <si>
    <t>Subs / Membership Fees</t>
  </si>
  <si>
    <t>Staff Training / Conferences</t>
  </si>
  <si>
    <t>Staff Travel / Accommodation</t>
  </si>
  <si>
    <t>Building Move Cost</t>
  </si>
  <si>
    <t>Mgmt Mtgs (Lower Nth Island)</t>
  </si>
  <si>
    <t>Mgmt Mtgs (South Island)</t>
  </si>
  <si>
    <t>Mgmt Mtgs (Upper Nth Island)</t>
  </si>
  <si>
    <t>Regional Funded Pd</t>
  </si>
  <si>
    <t>International Visiting Speaker</t>
  </si>
  <si>
    <t>Round Table &amp; SEPANZ</t>
  </si>
  <si>
    <t>Relieving Teachers</t>
  </si>
  <si>
    <t>Assistive Technology Group</t>
  </si>
  <si>
    <t>National Equipment Maintenance</t>
  </si>
  <si>
    <t>ACC levies</t>
  </si>
  <si>
    <t>Staff Training /Conferences</t>
  </si>
  <si>
    <t>Staff Travel &amp; Accomodation</t>
  </si>
  <si>
    <t>Difference</t>
  </si>
  <si>
    <t>Fundraising Expenses</t>
  </si>
  <si>
    <t>Activities Expenses</t>
  </si>
  <si>
    <t>Trading Income</t>
  </si>
  <si>
    <t>Trading Expenses</t>
  </si>
  <si>
    <t>Repairs and Maintenance</t>
  </si>
  <si>
    <t>Employee Benefits-salaries</t>
  </si>
  <si>
    <t>Staff Development</t>
  </si>
  <si>
    <t>Board of Trustees Fees</t>
  </si>
  <si>
    <t>Board of Trustees Expenses</t>
  </si>
  <si>
    <t>Communication</t>
  </si>
  <si>
    <t>Operating leases</t>
  </si>
  <si>
    <t>Heat, Light and Water</t>
  </si>
  <si>
    <t>Use of land and Buildings</t>
  </si>
  <si>
    <t>Vision Resources Centres</t>
  </si>
  <si>
    <t>Tel Rental/Tolls/Fax</t>
  </si>
  <si>
    <t>Muffin Break Expenses</t>
  </si>
  <si>
    <t>Salaries  Ec</t>
  </si>
  <si>
    <t>Telephone Rental/ Tolls/ Fax</t>
  </si>
  <si>
    <t>Property Rental - External</t>
  </si>
  <si>
    <t>Printing &amp; Stationery</t>
  </si>
  <si>
    <t>Subs/ Membership Fees</t>
  </si>
  <si>
    <t>Educational Resources</t>
  </si>
  <si>
    <t>Itinerant Music Costs</t>
  </si>
  <si>
    <t>Staff Training/ Conferences</t>
  </si>
  <si>
    <t>Regional Leased Cards</t>
  </si>
  <si>
    <t>Regional Vehicle Maintenance</t>
  </si>
  <si>
    <t>Regional Vehicle Insurance</t>
  </si>
  <si>
    <t>Regional Relieving Teachers</t>
  </si>
  <si>
    <t>Regional Relief Teacher Travel</t>
  </si>
  <si>
    <t>Regional Software Licences</t>
  </si>
  <si>
    <t>Regional Consumables</t>
  </si>
  <si>
    <t>VRC New Property Consumables</t>
  </si>
  <si>
    <t>Telephone Rental/Tolls/Faxes</t>
  </si>
  <si>
    <t>karen.stobbs@blennz.school.nz</t>
  </si>
  <si>
    <t>Transfer (to)/from restricted Equity</t>
  </si>
  <si>
    <t>Restricted Equity at start of the year</t>
  </si>
  <si>
    <t xml:space="preserve">Transfer Homai Special Funds </t>
  </si>
  <si>
    <t>Restricted Equity at the end of the year</t>
  </si>
  <si>
    <t>Music School - Acc</t>
  </si>
  <si>
    <t>Music School</t>
  </si>
  <si>
    <t>Postage / Courier</t>
  </si>
  <si>
    <t>Workshop Expenses</t>
  </si>
  <si>
    <t>Teaching Resources</t>
  </si>
  <si>
    <t>Staffing Ecc</t>
  </si>
  <si>
    <t>Telephone/Tolls/Fax Ec</t>
  </si>
  <si>
    <t>Photocopying Ec</t>
  </si>
  <si>
    <t>Printing/Stationery Ec</t>
  </si>
  <si>
    <t>Consumables Ec</t>
  </si>
  <si>
    <t>Publications Ec</t>
  </si>
  <si>
    <t>Staff Training/Conferences Ec</t>
  </si>
  <si>
    <t>Staff Travel/Accommodation Ec</t>
  </si>
  <si>
    <t>Courier Nas</t>
  </si>
  <si>
    <t>Opthalmologist</t>
  </si>
  <si>
    <t>Assessment Stock On Hand</t>
  </si>
  <si>
    <t>Paediatrician</t>
  </si>
  <si>
    <t>Optometrist</t>
  </si>
  <si>
    <t>Speech Language</t>
  </si>
  <si>
    <t>Audiologist</t>
  </si>
  <si>
    <t>Ses Sp Psychologist</t>
  </si>
  <si>
    <t>Physiotherapy Contract</t>
  </si>
  <si>
    <t>Occupational Therapy Contract</t>
  </si>
  <si>
    <t>Telephone Charges</t>
  </si>
  <si>
    <t>Braille Contract</t>
  </si>
  <si>
    <t>New Building Costs Nat Assess</t>
  </si>
  <si>
    <t>Salaries Admin Nat Assess</t>
  </si>
  <si>
    <t>Payments made under operating leases are recognised in the Statement of Comprehensive Revenue and Expense on a straight line basis over the term of the lease.</t>
  </si>
  <si>
    <t>Window Cleaning</t>
  </si>
  <si>
    <t>General Improvements</t>
  </si>
  <si>
    <t>Swimming Pool Costs</t>
  </si>
  <si>
    <t>Grounds R &amp; M</t>
  </si>
  <si>
    <t>Gas</t>
  </si>
  <si>
    <t>Power</t>
  </si>
  <si>
    <t>Water</t>
  </si>
  <si>
    <t>Caretaker</t>
  </si>
  <si>
    <t>Training</t>
  </si>
  <si>
    <t>Protective Gear</t>
  </si>
  <si>
    <t>Minor Capital Works</t>
  </si>
  <si>
    <t>Painting</t>
  </si>
  <si>
    <t>R&amp;M - Buildings</t>
  </si>
  <si>
    <t>R&amp;M - Fire Sprinkler System</t>
  </si>
  <si>
    <t>Vandalism</t>
  </si>
  <si>
    <t>Rates - School Property/Land</t>
  </si>
  <si>
    <t>Staffing: O&amp;M</t>
  </si>
  <si>
    <t>Contractors: O&amp;M</t>
  </si>
  <si>
    <t>Staffing: Admin Regional Specialist</t>
  </si>
  <si>
    <t>O&amp;M Admin Staffing</t>
  </si>
  <si>
    <t>Co-Ordinator Travel/Accommodat</t>
  </si>
  <si>
    <t>O&amp;M Auckl/Northland Trav/Accom</t>
  </si>
  <si>
    <t>O&amp;M Middle Ni Travel/Accomodat</t>
  </si>
  <si>
    <t>O&amp;M Lower Ni Travel/Accommodat</t>
  </si>
  <si>
    <t>O&amp;M Si Travel/Accommodation</t>
  </si>
  <si>
    <t>Leased Vehicles X 5</t>
  </si>
  <si>
    <t>Paraprofessional Pd</t>
  </si>
  <si>
    <t>Parent PD</t>
  </si>
  <si>
    <t>Blennz Wide Pd</t>
  </si>
  <si>
    <t>Property Rental Costs</t>
  </si>
  <si>
    <t>Set Up Costs</t>
  </si>
  <si>
    <t>Lesson Costs</t>
  </si>
  <si>
    <t>ASB Trust Account</t>
  </si>
  <si>
    <t>Asb Term Deposit #90</t>
  </si>
  <si>
    <t>Asb Term Dep Rnzfb Hsf 79</t>
  </si>
  <si>
    <t>ASB Term investment 86</t>
  </si>
  <si>
    <t>Petty Cash</t>
  </si>
  <si>
    <t>GST Input Tax</t>
  </si>
  <si>
    <t>GST Clearing Account</t>
  </si>
  <si>
    <t>GST Output Tax</t>
  </si>
  <si>
    <t>9115S</t>
  </si>
  <si>
    <t>Teachers Salaries Accrual</t>
  </si>
  <si>
    <t>Staff Banking Underuse</t>
  </si>
  <si>
    <t>Ecc Current Account</t>
  </si>
  <si>
    <t>Stock on Hand</t>
  </si>
  <si>
    <t>Creditors Control</t>
  </si>
  <si>
    <t>Accrued Audit Fee</t>
  </si>
  <si>
    <t>9320S</t>
  </si>
  <si>
    <t>Cyclical Maintenance Provision</t>
  </si>
  <si>
    <t>** NON-CURRENT ASSETS</t>
  </si>
  <si>
    <t>Fixed Assets</t>
  </si>
  <si>
    <t>** NON-CURRENT LIABILITIES</t>
  </si>
  <si>
    <t>Appropriation</t>
  </si>
  <si>
    <t>MOE Capital Contribution</t>
  </si>
  <si>
    <t>* Income in Advance</t>
  </si>
  <si>
    <t>Duke Of Edinburgh Award</t>
  </si>
  <si>
    <t>Gap Student Grant</t>
  </si>
  <si>
    <t>Grant In Advance-Current Year</t>
  </si>
  <si>
    <t>Income In Advance</t>
  </si>
  <si>
    <t>Music Trust</t>
  </si>
  <si>
    <t>Nowak-Kruger Trust</t>
  </si>
  <si>
    <t>Special Ed. Equip. Grant</t>
  </si>
  <si>
    <t>Vision Education Agency</t>
  </si>
  <si>
    <t>* Homai Special Funds</t>
  </si>
  <si>
    <t>System Suspense Account</t>
  </si>
  <si>
    <t>Main Control Account</t>
  </si>
  <si>
    <t>C100</t>
  </si>
  <si>
    <t>** CAPITAL ITEMS</t>
  </si>
  <si>
    <t>C200</t>
  </si>
  <si>
    <t>Disposal of Assets</t>
  </si>
  <si>
    <t>C500</t>
  </si>
  <si>
    <t>C501</t>
  </si>
  <si>
    <t>C502</t>
  </si>
  <si>
    <t>C503</t>
  </si>
  <si>
    <t>C504</t>
  </si>
  <si>
    <t>C505</t>
  </si>
  <si>
    <t>C506</t>
  </si>
  <si>
    <t>C507</t>
  </si>
  <si>
    <t>C508</t>
  </si>
  <si>
    <t>C509</t>
  </si>
  <si>
    <t>C510</t>
  </si>
  <si>
    <t>C511</t>
  </si>
  <si>
    <t>Pur Fa - Prof Develop</t>
  </si>
  <si>
    <t>C512</t>
  </si>
  <si>
    <t>B</t>
  </si>
  <si>
    <t>C</t>
  </si>
  <si>
    <t>D</t>
  </si>
  <si>
    <t>TS</t>
  </si>
  <si>
    <t>Provision as the start of the year</t>
  </si>
  <si>
    <t>Increase to the provision during the year</t>
  </si>
  <si>
    <t>Use of the provision during the year</t>
  </si>
  <si>
    <t>Provision as the end of the year</t>
  </si>
  <si>
    <t>C513</t>
  </si>
  <si>
    <t>C514</t>
  </si>
  <si>
    <t>C515</t>
  </si>
  <si>
    <t>C516</t>
  </si>
  <si>
    <t>C517</t>
  </si>
  <si>
    <t>C518</t>
  </si>
  <si>
    <t>C519</t>
  </si>
  <si>
    <t>Purchases - Buildings</t>
  </si>
  <si>
    <t>C520</t>
  </si>
  <si>
    <t>New School Equipment</t>
  </si>
  <si>
    <t>C521</t>
  </si>
  <si>
    <t>C522</t>
  </si>
  <si>
    <t>Pur FA - Napier</t>
  </si>
  <si>
    <t>C530</t>
  </si>
  <si>
    <t>Audio Visual</t>
  </si>
  <si>
    <t>C532</t>
  </si>
  <si>
    <t>Buildings</t>
  </si>
  <si>
    <t>C534</t>
  </si>
  <si>
    <t>Computer Equipment</t>
  </si>
  <si>
    <t>C536</t>
  </si>
  <si>
    <t>Furniture &amp; Fittings</t>
  </si>
  <si>
    <t>C538</t>
  </si>
  <si>
    <t>C540</t>
  </si>
  <si>
    <t>C542</t>
  </si>
  <si>
    <t>Musical Equipment</t>
  </si>
  <si>
    <t>C544</t>
  </si>
  <si>
    <t>Office Equipment</t>
  </si>
  <si>
    <t>C546</t>
  </si>
  <si>
    <t>Other Equipment</t>
  </si>
  <si>
    <t>C548</t>
  </si>
  <si>
    <t>Plant &amp; Machinery</t>
  </si>
  <si>
    <t>C550</t>
  </si>
  <si>
    <t>Special Ed. Equip. Grant Asset</t>
  </si>
  <si>
    <t>C552</t>
  </si>
  <si>
    <t>Sports Equipment</t>
  </si>
  <si>
    <t>C570</t>
  </si>
  <si>
    <t>C750</t>
  </si>
  <si>
    <t>D0</t>
  </si>
  <si>
    <t>** MOE FUNDED PROJECTS</t>
  </si>
  <si>
    <t>Kickstart Bldg Refurbish Inc</t>
  </si>
  <si>
    <t>Kickstart Building Refurb Exp</t>
  </si>
  <si>
    <t>D02</t>
  </si>
  <si>
    <t>Taranaki VRC Property redevelopment</t>
  </si>
  <si>
    <t>D02E</t>
  </si>
  <si>
    <t>Taranaki VRC Property Redevelop Exp</t>
  </si>
  <si>
    <t>$</t>
  </si>
  <si>
    <t>Actual</t>
  </si>
  <si>
    <t>Budget</t>
  </si>
  <si>
    <t>Interest</t>
  </si>
  <si>
    <t>Grounds</t>
  </si>
  <si>
    <t>Notes</t>
  </si>
  <si>
    <t>Learning resources</t>
  </si>
  <si>
    <t>Administration</t>
  </si>
  <si>
    <t>Depreciation</t>
  </si>
  <si>
    <t>Prepayments</t>
  </si>
  <si>
    <t>Inventories</t>
  </si>
  <si>
    <t>Number of people</t>
  </si>
  <si>
    <t>Property</t>
  </si>
  <si>
    <t>Curricular</t>
  </si>
  <si>
    <t>Insurance</t>
  </si>
  <si>
    <t>Consumables</t>
  </si>
  <si>
    <t>Debtors</t>
  </si>
  <si>
    <t>(a) Capital Commitments</t>
  </si>
  <si>
    <t>$000</t>
  </si>
  <si>
    <t>-</t>
  </si>
  <si>
    <t xml:space="preserve">Communication </t>
  </si>
  <si>
    <t>Current Assets</t>
  </si>
  <si>
    <t>Current Liabilities</t>
  </si>
  <si>
    <t>Local funds raised within the School's community are made up of:</t>
  </si>
  <si>
    <t>Net Assets</t>
  </si>
  <si>
    <t>No later than one year</t>
  </si>
  <si>
    <t>Later than one year and no later than five years</t>
  </si>
  <si>
    <t>Later than five years</t>
  </si>
  <si>
    <t>Operational grants</t>
  </si>
  <si>
    <t>Other government grants</t>
  </si>
  <si>
    <t>Information and communication technology</t>
  </si>
  <si>
    <t>Library resources</t>
  </si>
  <si>
    <t>Employee benefits - salaries</t>
  </si>
  <si>
    <t>Staff development</t>
  </si>
  <si>
    <t>Board of Trustees fees</t>
  </si>
  <si>
    <t>Board of Trustees expenses</t>
  </si>
  <si>
    <t>Caretaking and cleaning consumables</t>
  </si>
  <si>
    <t>Leased assets</t>
  </si>
  <si>
    <t>Cash on hand</t>
  </si>
  <si>
    <t>Teacher salaries grant</t>
  </si>
  <si>
    <t>Employee benefits - salaries accrual</t>
  </si>
  <si>
    <t>Cash and cash equivalents</t>
  </si>
  <si>
    <t>Provision for cyclical maintenance</t>
  </si>
  <si>
    <t>Property, plant and equipment</t>
  </si>
  <si>
    <t>(b) Operating Commitments</t>
  </si>
  <si>
    <t>Accounts payable</t>
  </si>
  <si>
    <t>Accounts receivable</t>
  </si>
  <si>
    <t xml:space="preserve">Principal </t>
  </si>
  <si>
    <t>Accounts Receivable</t>
  </si>
  <si>
    <t>Accounts Payable</t>
  </si>
  <si>
    <t>Code</t>
  </si>
  <si>
    <t>Audit Fees</t>
  </si>
  <si>
    <t>Other fees received in advance</t>
  </si>
  <si>
    <t>Previous year</t>
  </si>
  <si>
    <t>Year before previous</t>
  </si>
  <si>
    <t>Local Fundraising</t>
  </si>
  <si>
    <t>Cash and Cash Equivalents</t>
  </si>
  <si>
    <t>Property, Plant and Equipment</t>
  </si>
  <si>
    <t>Related Party Transactions</t>
  </si>
  <si>
    <t xml:space="preserve">Remuneration </t>
  </si>
  <si>
    <t>Compensation and other Benefits upon leaving</t>
  </si>
  <si>
    <t>Contingencies</t>
  </si>
  <si>
    <t>Commitments</t>
  </si>
  <si>
    <t>There have been no subsequent events since balance date the would materially affect these</t>
  </si>
  <si>
    <t>Kiwisport</t>
  </si>
  <si>
    <t>Computer software licences with individual values under $1,000 are not capitalised, they are recognised as an expense in the Statement of Comprehensive Income when incurred.</t>
  </si>
  <si>
    <t>BALANCE SHEET</t>
  </si>
  <si>
    <t>Cash and Bank</t>
  </si>
  <si>
    <t>Blind and Low Vision Education Network NZ</t>
  </si>
  <si>
    <t>(a) Teacher laptops</t>
  </si>
  <si>
    <t>MOE Residential grant</t>
  </si>
  <si>
    <t>MOE Resource Teachers of Vision Impairment grant</t>
  </si>
  <si>
    <t>MOE Vision &amp; Sensory Resource Centre grant</t>
  </si>
  <si>
    <t>MOE Teachers salaries grant</t>
  </si>
  <si>
    <t>Special Education Grants/ORS</t>
  </si>
  <si>
    <t>MOE Document of Accountability Board Support</t>
  </si>
  <si>
    <t>MOE Document of Accountability Assessment/Training</t>
  </si>
  <si>
    <t xml:space="preserve">Use of land and buildings grant </t>
  </si>
  <si>
    <t>Kickstart</t>
  </si>
  <si>
    <t>Vision Resource Centres</t>
  </si>
  <si>
    <t>Property Rental</t>
  </si>
  <si>
    <t>Professional Development</t>
  </si>
  <si>
    <t>Client Travel</t>
  </si>
  <si>
    <t>Recruitment</t>
  </si>
  <si>
    <t>Orientation &amp; Mobility</t>
  </si>
  <si>
    <t>Residential</t>
  </si>
  <si>
    <t>Doherty Fund</t>
  </si>
  <si>
    <t>10–15 years</t>
  </si>
  <si>
    <t>5 years</t>
  </si>
  <si>
    <t>Visual Resource Centres</t>
  </si>
  <si>
    <t>Private Bag 801
Manurewa, Auckland, 2243</t>
  </si>
  <si>
    <t>09 266 7109</t>
  </si>
  <si>
    <t>09 267 4496</t>
  </si>
  <si>
    <t xml:space="preserve">Building improvements </t>
  </si>
  <si>
    <t>A</t>
  </si>
  <si>
    <t>Repairs &amp; Maintenance</t>
  </si>
  <si>
    <t>Regional Specialist Services</t>
  </si>
  <si>
    <t>1.  Statement of  Accounting Policies</t>
  </si>
  <si>
    <t>Reporting period</t>
  </si>
  <si>
    <t>Basis of preparation</t>
  </si>
  <si>
    <t xml:space="preserve">The accounting policies used in the preparation of these financial statements are set out below. </t>
  </si>
  <si>
    <t>Critical accounting estimates and assumptions</t>
  </si>
  <si>
    <t>Government grants schools</t>
  </si>
  <si>
    <t>Operational grants are recorded as revenue when the school has the rights to the funding, which is in the year that the funding is received.</t>
  </si>
  <si>
    <t>Other Grants are recorded as revenue when the school has the rights to the funding, unless there are unfulfilled conditions attached to the grant, in which case the amount relating to the unfulfilled conditions is recognised as a liability and released to revenue as the conditions are fulfilled.</t>
  </si>
  <si>
    <t>Interest revenue earned on cash and cash equivalents and investments is recorded as revenue in the period it is earned.</t>
  </si>
  <si>
    <t>Staff Travel/Accom</t>
  </si>
  <si>
    <t>ASB Savings Account #50</t>
  </si>
  <si>
    <t>ASB Term Investment #72</t>
  </si>
  <si>
    <t>ASB Term Investment #74</t>
  </si>
  <si>
    <t>ASB Term Investment #75</t>
  </si>
  <si>
    <t>ASB Term Investment #79</t>
  </si>
  <si>
    <t>ASB Term Investment 81</t>
  </si>
  <si>
    <t>ASB Term Investment #82</t>
  </si>
  <si>
    <t>ASB Term Investment #83</t>
  </si>
  <si>
    <t>ASB Term Investment #84</t>
  </si>
  <si>
    <t>ASB Term Investment #85</t>
  </si>
  <si>
    <t>ASB Term Investment #77</t>
  </si>
  <si>
    <t>ASB Term Investment #73</t>
  </si>
  <si>
    <t>ASB Term Investment #88</t>
  </si>
  <si>
    <t>ASB Term Investment #78</t>
  </si>
  <si>
    <t>ASB Term Investment 76 Music School</t>
  </si>
  <si>
    <t>ASB Term Investment #80</t>
  </si>
  <si>
    <t>Novopay repayments/debt</t>
  </si>
  <si>
    <t>Leave liability</t>
  </si>
  <si>
    <t>Otago VRC</t>
  </si>
  <si>
    <t>Palmerston North VRC</t>
  </si>
  <si>
    <t>Southland VRC</t>
  </si>
  <si>
    <t>HSF: AVRC</t>
  </si>
  <si>
    <t>HSF: Blundell Award</t>
  </si>
  <si>
    <t>HSF: Chapel</t>
  </si>
  <si>
    <t>HSF: Doherty Fund</t>
  </si>
  <si>
    <t>HSF: General</t>
  </si>
  <si>
    <t>HSF: Gurr Trust</t>
  </si>
  <si>
    <t>HSF: Kickstart</t>
  </si>
  <si>
    <t>HSF: Koru/Mccahon</t>
  </si>
  <si>
    <t>HSF: Music</t>
  </si>
  <si>
    <t>HSF: Research</t>
  </si>
  <si>
    <t>HSF: Resource Rooms</t>
  </si>
  <si>
    <t>HSF: SPort &amp; Recreation</t>
  </si>
  <si>
    <t>Pur FA - Nelson</t>
  </si>
  <si>
    <t>Pur FA - Administration</t>
  </si>
  <si>
    <t>Pur FA - Christchurch</t>
  </si>
  <si>
    <t>Pur FA - Core School</t>
  </si>
  <si>
    <t>Pur FA - Gisborne VRC</t>
  </si>
  <si>
    <t>Pur FA - Hamilton</t>
  </si>
  <si>
    <t>Pur FA - National Assessment</t>
  </si>
  <si>
    <t>Pur FA - Otago</t>
  </si>
  <si>
    <t>Pur FA - Palmerston North</t>
  </si>
  <si>
    <t>Pur FA - Playground</t>
  </si>
  <si>
    <t>Pur FA - Residential</t>
  </si>
  <si>
    <t>Pur FA - Southland</t>
  </si>
  <si>
    <t>Pur FA - Taranaki</t>
  </si>
  <si>
    <t>Pur FA - Tauranga</t>
  </si>
  <si>
    <t>Pur FA - Wellington</t>
  </si>
  <si>
    <t>Pur FA - A&amp;T Service</t>
  </si>
  <si>
    <t>Pur FA - DOM</t>
  </si>
  <si>
    <t>Pur FA - Immersion</t>
  </si>
  <si>
    <t>Pur FA - Donations</t>
  </si>
  <si>
    <t>Grants</t>
  </si>
  <si>
    <t>Operations Grant</t>
  </si>
  <si>
    <t>Moe Residential grant</t>
  </si>
  <si>
    <t>E</t>
  </si>
  <si>
    <t>F</t>
  </si>
  <si>
    <t>G</t>
  </si>
  <si>
    <t>H</t>
  </si>
  <si>
    <t>I</t>
  </si>
  <si>
    <t>J</t>
  </si>
  <si>
    <t>Other Moe Grants</t>
  </si>
  <si>
    <t>K</t>
  </si>
  <si>
    <t>L</t>
  </si>
  <si>
    <t>Total</t>
  </si>
  <si>
    <t>Total value</t>
  </si>
  <si>
    <t>Other Employees</t>
  </si>
  <si>
    <t xml:space="preserve">        Salary and other payments</t>
  </si>
  <si>
    <t xml:space="preserve">        Benefits and other emoluments</t>
  </si>
  <si>
    <t>Salaries and other short tem employee benefits:</t>
  </si>
  <si>
    <t>Assessment Stock</t>
  </si>
  <si>
    <t>S</t>
  </si>
  <si>
    <t>LL</t>
  </si>
  <si>
    <t>MOE Portion Laptop leases</t>
  </si>
  <si>
    <t>MOE PORTION Laptop lease</t>
  </si>
  <si>
    <t>100-110</t>
  </si>
  <si>
    <t xml:space="preserve">Furniture and equipment </t>
  </si>
  <si>
    <t>Investments</t>
  </si>
  <si>
    <t>Motor Vehicles</t>
  </si>
  <si>
    <t xml:space="preserve">     Activities</t>
  </si>
  <si>
    <t xml:space="preserve">     Trading</t>
  </si>
  <si>
    <t xml:space="preserve">     Donations</t>
  </si>
  <si>
    <t xml:space="preserve">     Fundraising</t>
  </si>
  <si>
    <t>Motor vehicles</t>
  </si>
  <si>
    <t xml:space="preserve">The disclosure for 'Other Employees' does not include remuneration of the Principal.  </t>
  </si>
  <si>
    <t>Investments (more than 12 months)</t>
  </si>
  <si>
    <t>The total value of compensation or other benefits paid or payable to persons who ceased to be trustees, committee members, or employees during the financial year in relation to that cessation and number of persons to whom all or part of that total was as follows:</t>
  </si>
  <si>
    <t>Building improvements - Crown only</t>
  </si>
  <si>
    <t>Equity</t>
  </si>
  <si>
    <t xml:space="preserve">     Fundraising (costs of raising funds)</t>
  </si>
  <si>
    <t>The carrying value of payables approximates their fair value.</t>
  </si>
  <si>
    <t>Statement of Financial Position</t>
  </si>
  <si>
    <t xml:space="preserve">        Termination benefits</t>
  </si>
  <si>
    <t>Net Surplus (Deficit)</t>
  </si>
  <si>
    <t>Non-current Assets</t>
  </si>
  <si>
    <t>Non-current Liabilities</t>
  </si>
  <si>
    <t>The above Statement of Financial Position should be read in conjunction with the accompanying notes.</t>
  </si>
  <si>
    <t>The above Statement of Changes in Equity should be read in conjunction with the accompanying notes.</t>
  </si>
  <si>
    <t>The above Statement of Comprehensive Income should be read in conjunction with the accompanying notes.</t>
  </si>
  <si>
    <t>Period</t>
  </si>
  <si>
    <t>Year</t>
  </si>
  <si>
    <t>School number</t>
  </si>
  <si>
    <t>Email:</t>
  </si>
  <si>
    <t>Fax:</t>
  </si>
  <si>
    <t>Telephone:</t>
  </si>
  <si>
    <t>Postal Address:</t>
  </si>
  <si>
    <t>School Address:</t>
  </si>
  <si>
    <t>FINANCIAL STATEMENTS</t>
  </si>
  <si>
    <t xml:space="preserve"> </t>
  </si>
  <si>
    <t>Notes to the Financial Statements</t>
  </si>
  <si>
    <t>Statement of Responsibility</t>
  </si>
  <si>
    <t>Name</t>
  </si>
  <si>
    <t>The financial statements have been prepared on a GST exclusive basis, with the exception of accounts receivable and accounts payable which are stated as GST inclusive.</t>
  </si>
  <si>
    <t>Investments that are shares are categorised as “available for sale” for accounting purposes in accordance with financial reporting standards.</t>
  </si>
  <si>
    <t>GST</t>
  </si>
  <si>
    <t>Staffing Banking underusage</t>
  </si>
  <si>
    <t>Income in advance</t>
  </si>
  <si>
    <t>Fixed assets</t>
  </si>
  <si>
    <t>HSF funds</t>
  </si>
  <si>
    <t>Software costs</t>
  </si>
  <si>
    <t>l) Intangible Assets</t>
  </si>
  <si>
    <t>12.5% Diminishing value</t>
  </si>
  <si>
    <t>4 years</t>
  </si>
  <si>
    <t>Furniture and equipment</t>
  </si>
  <si>
    <t>Building improvements – Crown</t>
  </si>
  <si>
    <t>The estimated useful lives of the assets are:</t>
  </si>
  <si>
    <t xml:space="preserve">Depreciation </t>
  </si>
  <si>
    <t>Leased Assets</t>
  </si>
  <si>
    <t xml:space="preserve">Improvements to buildings owned by the Crown are recorded at cost, less accumulated depreciation and impairment losses.  </t>
  </si>
  <si>
    <t>Relieving Teacher Days Nat Ass</t>
  </si>
  <si>
    <t>Salaries Acc Nat Asses</t>
  </si>
  <si>
    <t>Rubbish Disposal</t>
  </si>
  <si>
    <t>Stores</t>
  </si>
  <si>
    <t>Recreational Outings</t>
  </si>
  <si>
    <t>Student Travel - Air</t>
  </si>
  <si>
    <t>Student Travel - Taxis</t>
  </si>
  <si>
    <t>Medical Fees</t>
  </si>
  <si>
    <t>Hostels R &amp; M</t>
  </si>
  <si>
    <t>Psychologist Contract</t>
  </si>
  <si>
    <t>Counselling Contract</t>
  </si>
  <si>
    <t>Staff Training</t>
  </si>
  <si>
    <t>Hostels Staff Trav Reimb</t>
  </si>
  <si>
    <t>Admin New Building Costs</t>
  </si>
  <si>
    <t>Transition Programmes</t>
  </si>
  <si>
    <t>Security</t>
  </si>
  <si>
    <t>Contracted Staff (Early Child)</t>
  </si>
  <si>
    <t>Contracted Staff (Add Courses)</t>
  </si>
  <si>
    <t>Meals</t>
  </si>
  <si>
    <t>Contracted Staff - Curriculum</t>
  </si>
  <si>
    <t>Salaries - Teaching Staff</t>
  </si>
  <si>
    <t>Acc</t>
  </si>
  <si>
    <t>Staff Travel Reimbursement</t>
  </si>
  <si>
    <t>Immersion  Consumables</t>
  </si>
  <si>
    <t>Salaries - Admin Immersion</t>
  </si>
  <si>
    <t>Hireage Of Facilities</t>
  </si>
  <si>
    <t>New Building Cost Ris</t>
  </si>
  <si>
    <t>Emergency Course Funds</t>
  </si>
  <si>
    <t>Child &amp; Family (Early Childhoo</t>
  </si>
  <si>
    <t>Child&amp;Family (Additional Cours</t>
  </si>
  <si>
    <t>Child &amp; Fam (Blind Learners)</t>
  </si>
  <si>
    <t>Senior Musicianship</t>
  </si>
  <si>
    <t>Junior Or Inter Musicianship</t>
  </si>
  <si>
    <t>Intermediate Musicianship</t>
  </si>
  <si>
    <t>Contingency Course</t>
  </si>
  <si>
    <t>Performing Arts</t>
  </si>
  <si>
    <t>Braillenote Connections</t>
  </si>
  <si>
    <t>Technology L/Vision Napier</t>
  </si>
  <si>
    <t>Braillenote Basics</t>
  </si>
  <si>
    <t>Technology For Music Comp</t>
  </si>
  <si>
    <t>Technology</t>
  </si>
  <si>
    <t>Life Skills</t>
  </si>
  <si>
    <t>Maths/Life Skills</t>
  </si>
  <si>
    <t>Braille Learners 9-12 Yrs</t>
  </si>
  <si>
    <t>Braille Learners - Life Skills</t>
  </si>
  <si>
    <t>School Immersion Placement</t>
  </si>
  <si>
    <t>Literacy Jnr Br Or Duel Print</t>
  </si>
  <si>
    <t>Physical Education L/Vision</t>
  </si>
  <si>
    <t>Pre Course Planning</t>
  </si>
  <si>
    <t>Teenage Drama Workshop</t>
  </si>
  <si>
    <t>Deanwell - Telecommunications</t>
  </si>
  <si>
    <t>Muffin Break</t>
  </si>
  <si>
    <t>Resource Production Materials</t>
  </si>
  <si>
    <t>Hamilton - Salaries</t>
  </si>
  <si>
    <t>Timaru operations</t>
  </si>
  <si>
    <t>West Coast Operations</t>
  </si>
  <si>
    <t>Christchurch - Salaries</t>
  </si>
  <si>
    <t>Staff funded from 2009 Surplus</t>
  </si>
  <si>
    <t>Sovereign Trust</t>
  </si>
  <si>
    <t>Gisbone - Salaries</t>
  </si>
  <si>
    <t>Education Resources</t>
  </si>
  <si>
    <t>Curriculum Days</t>
  </si>
  <si>
    <t>Napier - Salaries</t>
  </si>
  <si>
    <t>Inservice Course Expenses</t>
  </si>
  <si>
    <t>Palmerston North - Salaries</t>
  </si>
  <si>
    <t>Professional Materials</t>
  </si>
  <si>
    <t>Tauranga - Salaries</t>
  </si>
  <si>
    <t>0.2 FTE teacher Time</t>
  </si>
  <si>
    <t>New Plymouth - Salaries</t>
  </si>
  <si>
    <t>Educational Equipment</t>
  </si>
  <si>
    <t>Accounting Fees</t>
  </si>
  <si>
    <t>Computer/Software Expenses</t>
  </si>
  <si>
    <t>General</t>
  </si>
  <si>
    <t>R&amp;M - Office Equipment</t>
  </si>
  <si>
    <t>Stationery/Printing</t>
  </si>
  <si>
    <t>Bank Charges</t>
  </si>
  <si>
    <t>Expenses - Furn Grant New Scho</t>
  </si>
  <si>
    <t>New School Expenses</t>
  </si>
  <si>
    <t>Insurance - School</t>
  </si>
  <si>
    <t>Principals Expenses</t>
  </si>
  <si>
    <t>Ict Technical Support</t>
  </si>
  <si>
    <t>ICT Staffing</t>
  </si>
  <si>
    <t>On-Line Charges</t>
  </si>
  <si>
    <t>Misc Service Centre Fees</t>
  </si>
  <si>
    <t>Charter Consultation</t>
  </si>
  <si>
    <t>Sector Forums</t>
  </si>
  <si>
    <t>International Conferences</t>
  </si>
  <si>
    <t>Communication Strategy</t>
  </si>
  <si>
    <t>Senior Management Team Expense</t>
  </si>
  <si>
    <t>Vehicle Leases</t>
  </si>
  <si>
    <t>Registration</t>
  </si>
  <si>
    <t>Acc Levy - Admin</t>
  </si>
  <si>
    <t>Recruitment - Admin Staff</t>
  </si>
  <si>
    <t>Salaries - Admin</t>
  </si>
  <si>
    <t>Training Costs - Admin Staff</t>
  </si>
  <si>
    <t>Blennz Wide Staff Training</t>
  </si>
  <si>
    <t>Eap Counselling Services</t>
  </si>
  <si>
    <t>Insurance - Moe Scheme</t>
  </si>
  <si>
    <t>Carpets/Pest Control</t>
  </si>
  <si>
    <t>Renovation Rubbish Disposal</t>
  </si>
  <si>
    <t>Non cash generating assets</t>
  </si>
  <si>
    <t>Property, plant, and equipment and intangible assets held at cost that have a finite useful life are reviewed for impairment whenever events or changes in circumstances indicate that the carrying amount may not be recoverable.  An impairment loss is recognised for the amount by which the asset's carrying amount exceeds its recoverable service amount.  The recoverable service amount is the higher of an asset's fair value less costs to sell and value in use.</t>
  </si>
  <si>
    <t>Value in use is determined using an approach based on either a depreciated replacement cost approach, restoration cost approach, or a service units approach.  The most appropriate approach used to measure value in use depends on the nature of the impairment and availability of information.</t>
  </si>
  <si>
    <t>If an asset's carrying amount exceeds its recoverable service amount, the asset is regarded as impaired and the carrying amount is written down to the recoverable amount.  The total impairment loss is recognised in the surplus or deficit.</t>
  </si>
  <si>
    <t>The reversal of an impairment loss is recognised in the surplus or deficit.</t>
  </si>
  <si>
    <t>Employee benefits that are due to be settled within 12 months after the end of the period in which the employee renders the related service are measured based on accrued entitlements at current rates of pay.  These include salaries and wages accrued up to balance date, annual leave earned to but not yet taken at balance date.</t>
  </si>
  <si>
    <t>From time to time the school receives services in-kind, including the time of volunteers.  The school has elected not to recognise services received in kind in the Statement of Comprehensive Revenue and Expense.</t>
  </si>
  <si>
    <t>The financial statements have been prepared on a going concern basis, and the accounting policies have been consistently applied throughout the period</t>
  </si>
  <si>
    <t>** Government Grants</t>
  </si>
  <si>
    <t>TRL Lease MOE Portion Finance</t>
  </si>
  <si>
    <t>Lease interest</t>
  </si>
  <si>
    <t>MOE Study Award income</t>
  </si>
  <si>
    <t>MOE Study Award Expenses</t>
  </si>
  <si>
    <t>Guidance Counsellor contract</t>
  </si>
  <si>
    <t>DOM Expenses</t>
  </si>
  <si>
    <t>Regional IT Facilitator Support</t>
  </si>
  <si>
    <t>Regional 3R Payments</t>
  </si>
  <si>
    <t>Network Project Secondment</t>
  </si>
  <si>
    <t>Regional Health &amp; Safety</t>
  </si>
  <si>
    <t>Interpreter Costs</t>
  </si>
  <si>
    <t>Software Expenses</t>
  </si>
  <si>
    <t>Resource Mgmt Project</t>
  </si>
  <si>
    <t>Novopay leave adjustment</t>
  </si>
  <si>
    <t>OLE Insurance</t>
  </si>
  <si>
    <t>Team Meetings</t>
  </si>
  <si>
    <t>Course Fees Year 2</t>
  </si>
  <si>
    <t>Course Fees Blindfold</t>
  </si>
  <si>
    <t>Relief Staffing</t>
  </si>
  <si>
    <t>Prepaid Interest</t>
  </si>
  <si>
    <t>Photocopier lease CSG</t>
  </si>
  <si>
    <t>Vistab Lease</t>
  </si>
  <si>
    <t>TRL Finance Lease Current</t>
  </si>
  <si>
    <t>Prepaid interest</t>
  </si>
  <si>
    <t>Photocopier Lease CSG</t>
  </si>
  <si>
    <t>TRL FInance Lease Term</t>
  </si>
  <si>
    <t>Gain/(Loss) on Disposal</t>
  </si>
  <si>
    <t>Pur FA - AVRC North-West</t>
  </si>
  <si>
    <t>Pur FA - AVRC South-East</t>
  </si>
  <si>
    <t>C680</t>
  </si>
  <si>
    <t>C685</t>
  </si>
  <si>
    <t>TRL Lease asset</t>
  </si>
  <si>
    <t>D03</t>
  </si>
  <si>
    <t>Tauranga New Build</t>
  </si>
  <si>
    <t>D03E</t>
  </si>
  <si>
    <t>Statement of Cash flows</t>
  </si>
  <si>
    <t>Interest Earned</t>
  </si>
  <si>
    <t>Finance Costs</t>
  </si>
  <si>
    <t>Statement of Cash Flows</t>
  </si>
  <si>
    <t xml:space="preserve">The school qualifies for Tier 2 as the school is not publicaly accountable and is not considered large as it falls below the expenditure threshold of $30 million per year.  All relevant reduced disclosure concessions have been taken.  </t>
  </si>
  <si>
    <t>The preparation of financial statements requires management to make judgements, estimates and assumptions that affect the application of accounting policies and the reported amounts of assets, liabilities, revenue and expenses. Actual results may differ from these estimates. 
Estimates and underlying assumptions are reviewed on an ongoing basis. Revisions to accounting estimates are recognised in the period in which the estimate is revised and in any future periods affected.</t>
  </si>
  <si>
    <t>Useful lives of property, plant and equipment</t>
  </si>
  <si>
    <t>Critical Judgements in applying accounting policies</t>
  </si>
  <si>
    <t>Management has exercised the following critical judgements in applying accouting policies:</t>
  </si>
  <si>
    <t>Classification of leases</t>
  </si>
  <si>
    <t>Recognition of grants</t>
  </si>
  <si>
    <t>The School reviews the grants monies received at the end of each reporting period and whether any require a provision to carryforward amounts unspent. The School believes all grants received have been appropriately recognised as a liability if required. Government grants are disclosed at note 2.</t>
  </si>
  <si>
    <t>Cash and cash equivalents include cash on hand, bank balances, deposits held at call with banks, and other short term highly liquid investments with original maturities of 90 days or less, and bank overdrafts.  The carrying amount of cash and cash equivalents represent fair value.</t>
  </si>
  <si>
    <t xml:space="preserve">Accounts Receivable represents items that the School has issued invoices for or accrued for, but has not received payment for at year end. Receivables are initially recorded at fair value and subsequently recorded at the amount the School realistically expects to receive. A receivable is considered uncollectable where there is objective evidence the School will not be able to collect all amounts due. The amount that is uncollectable (the provision for uncollectibility) is the difference between the amount due and the present value of the amounts expected to be collected. </t>
  </si>
  <si>
    <t>Bank term deposits are initially measured at the amount invested.  Interest is subsequently accrued and added to the investment balance.</t>
  </si>
  <si>
    <t>Investments that are shares are categorised as "available for sale" for accounting purposes in accordance with financial reporting standards.  Share investments are recognised initially by the School at fair value plus transaction costs.  At balance date the School has assessed whether there is any evidence that an investment is impaired.  Any impairment, gains or losses are recognised in the Statement of Comprehensive Revenue and Expense.</t>
  </si>
  <si>
    <t>After initial recognition bank term deposits are measured at amortised cost using the effective interest method less impairment.</t>
  </si>
  <si>
    <t>After initial recognition any investments categorised as available for sale are measured at their fair value without any deduction for transaction costs the school may incur on sale or other disposal.</t>
  </si>
  <si>
    <t>Property, plant and equipment acquired with individual values under $500 are not capitalised, they are recognised as an expense in the Statement of Comprehensive Revenue and Expense.</t>
  </si>
  <si>
    <t>The School has entered into a number of finance lease agreements for computers.  Minimum lease payments payable:</t>
  </si>
  <si>
    <t>No Later than One Year</t>
  </si>
  <si>
    <t>Later than One Year and no Later than Five Years</t>
  </si>
  <si>
    <t>Later than Five Years</t>
  </si>
  <si>
    <t>Finance Lease Liability</t>
  </si>
  <si>
    <t>BOT Contribution/ (Write-off to R&amp;M)</t>
  </si>
  <si>
    <t>Opening</t>
  </si>
  <si>
    <t>Receipts</t>
  </si>
  <si>
    <t>Closing</t>
  </si>
  <si>
    <t>Balances</t>
  </si>
  <si>
    <t>from MoE</t>
  </si>
  <si>
    <t>Payments</t>
  </si>
  <si>
    <t>Totals</t>
  </si>
  <si>
    <t>Represented by:</t>
  </si>
  <si>
    <t>Funds Held on Behalf of the Ministry of Education</t>
  </si>
  <si>
    <t>Funds Due from the Ministry of Education</t>
  </si>
  <si>
    <t>Funds Held for Capital Works Projects</t>
  </si>
  <si>
    <t xml:space="preserve">Tauranga </t>
  </si>
  <si>
    <t>Key management personnel of the school include all trustees of the board, principal, deputy principals and head of departments</t>
  </si>
  <si>
    <t>Board members</t>
  </si>
  <si>
    <t>Full-time Equivalent members</t>
  </si>
  <si>
    <t>Leadership team</t>
  </si>
  <si>
    <t>Full-time equivalent members</t>
  </si>
  <si>
    <t>The full time equivalent of Board members has been determined based on attendance at Board meetings, Committee meetings and for other obligations of the Board, such as stand downs and suspensions, plus the estimated time for Board members to prepare for meetings.</t>
  </si>
  <si>
    <t>Financial Instruments</t>
  </si>
  <si>
    <t>See code 10430</t>
  </si>
  <si>
    <t>See code 10902</t>
  </si>
  <si>
    <t>(b) Vehicles</t>
  </si>
  <si>
    <t>Receivables from the Ministry of Education</t>
  </si>
  <si>
    <t>Finance costs</t>
  </si>
  <si>
    <t>Finance Lease term liability</t>
  </si>
  <si>
    <t>Lease liability</t>
  </si>
  <si>
    <t>Add back Novopay adjustments</t>
  </si>
  <si>
    <t>Not wages</t>
  </si>
  <si>
    <t>Code 46800-813.04,4+46864 $7855,46880 $310,46885 $64112,46886 $3040</t>
  </si>
  <si>
    <t>Wages under ORRS (33500,33520,33550</t>
  </si>
  <si>
    <t>Non wages in code 38220 (residential wages)- includes the settlements</t>
  </si>
  <si>
    <t>2 McVilly Road, Manurewa</t>
  </si>
  <si>
    <t>Transfer to Homai</t>
  </si>
  <si>
    <t>The School reviews the details of lease agreements at the end of each reporting date. The School believes the classification of each lease as either operation or finance is appropriate and reflects the nature of the agreement in place. Finance leases are disclosed at note 20.</t>
  </si>
  <si>
    <t>l) Impairment of property, plant, and equipment and intangible assets</t>
  </si>
  <si>
    <t>m) Accounts Payable</t>
  </si>
  <si>
    <t>n) Employee Entitlements</t>
  </si>
  <si>
    <t>o) Revenue Received in Advance</t>
  </si>
  <si>
    <t xml:space="preserve">p) Funds Held in Trust </t>
  </si>
  <si>
    <t xml:space="preserve">q) Shared Funds </t>
  </si>
  <si>
    <r>
      <t>r) Provision for Cyclical Maintenance</t>
    </r>
    <r>
      <rPr>
        <b/>
        <sz val="12"/>
        <color indexed="23"/>
        <rFont val="Arial"/>
        <family val="2"/>
      </rPr>
      <t xml:space="preserve"> </t>
    </r>
  </si>
  <si>
    <t>s) Financial Assets and Liabilities</t>
  </si>
  <si>
    <t>t) Borrowings</t>
  </si>
  <si>
    <t>PB4L Grant</t>
  </si>
  <si>
    <t>PB4L</t>
  </si>
  <si>
    <t>Youth Worker Salaries</t>
  </si>
  <si>
    <t>Consumables - Transition Programme</t>
  </si>
  <si>
    <t>VRC Property Costs</t>
  </si>
  <si>
    <t>Resources Project</t>
  </si>
  <si>
    <t>Network ICT Expenses</t>
  </si>
  <si>
    <t>R &amp; M Buildings - Tauranga</t>
  </si>
  <si>
    <t>ADL Professional Development</t>
  </si>
  <si>
    <t>Course Fees - Year 3</t>
  </si>
  <si>
    <t>Course Fees - ADL</t>
  </si>
  <si>
    <t>ASB Account 01</t>
  </si>
  <si>
    <t>Sundry Debtors</t>
  </si>
  <si>
    <t>Auckland North VRC</t>
  </si>
  <si>
    <t>0 - 10</t>
  </si>
  <si>
    <t>110-120</t>
  </si>
  <si>
    <t>Other Compensation</t>
  </si>
  <si>
    <t>During the 2016 year sleep-over settlements were paid to affected staff at the conclusion of the employment court case. There are no further compensation payments expected.</t>
  </si>
  <si>
    <t>Month</t>
  </si>
  <si>
    <t>Actual_YTD</t>
  </si>
  <si>
    <t>LYTD</t>
  </si>
  <si>
    <t>LY_Actual</t>
  </si>
  <si>
    <t>XC999</t>
  </si>
  <si>
    <t>EOY</t>
  </si>
  <si>
    <t>completed</t>
  </si>
  <si>
    <t>t) Goods and Services Tax (GST)</t>
  </si>
  <si>
    <t xml:space="preserve">u) Budget Figures </t>
  </si>
  <si>
    <t>v) Services received in-kind</t>
  </si>
  <si>
    <t>Balance at 31 December 2017</t>
  </si>
  <si>
    <t>During the year the School did not receive or apply funding from the Ministry of Education for capital works projects.</t>
  </si>
  <si>
    <t>Completed</t>
  </si>
  <si>
    <t>The School reviews the estimated useful lives of property, plant and equipment at the end of each reporting date. The School believes that the estimated useful lives of the property, plant and equipment as disclosed in the Significant Accounting Policies are appropriate to the nature of the property, plant and equipment at reporting date. Property, plant and equipment is disclosed at note 16.</t>
  </si>
  <si>
    <t xml:space="preserve">Use of land and building grants are recorded as revenue in the period the school uses the land and buildings.  These are not received in cash by the school as they equate to the deemed expense for using the land and buildings which are owned by the Crown. </t>
  </si>
  <si>
    <t>Donations, Gifts and Bequests</t>
  </si>
  <si>
    <t xml:space="preserve">The net amount of GST paid to, or received from the IRD, including the GST relating to investing and financing activities, is classified as a net operating cash flow in the statements of cash flows.  </t>
  </si>
  <si>
    <t>Commitments and contingencies are disclosed exclusive of GST.</t>
  </si>
  <si>
    <t xml:space="preserve"> 6 - 11</t>
  </si>
  <si>
    <t>Learning Resources - Day School</t>
  </si>
  <si>
    <t>Equipment Repairs</t>
  </si>
  <si>
    <t>Learning Resources - ORRS</t>
  </si>
  <si>
    <t>Learning Resources - Residential</t>
  </si>
  <si>
    <t>Learning Resources - National Services</t>
  </si>
  <si>
    <t>UNALLOCATED</t>
  </si>
  <si>
    <t>Other</t>
  </si>
  <si>
    <t>Service Providers, Contractors and Consultancy</t>
  </si>
  <si>
    <t>FOR THE YEAR ENDED 31 DECEMBER 2018</t>
  </si>
  <si>
    <t>Financial Statements - For the year ending 31 December 2018</t>
  </si>
  <si>
    <r>
      <t>For the year ended 31 December</t>
    </r>
    <r>
      <rPr>
        <sz val="14"/>
        <rFont val="Arial"/>
        <family val="2"/>
      </rPr>
      <t xml:space="preserve"> 2018</t>
    </r>
  </si>
  <si>
    <t>31 December 2018.</t>
  </si>
  <si>
    <t>ended 31 December 2018 fairly reflects the financial position and operations of the school.</t>
  </si>
  <si>
    <t>The School's 2018 financial statements are authorised for issue by the Board.</t>
  </si>
  <si>
    <t>For the year ended 31 December 2018</t>
  </si>
  <si>
    <t>As at 31 December 2018</t>
  </si>
  <si>
    <r>
      <t xml:space="preserve">For the year ended 31 December </t>
    </r>
    <r>
      <rPr>
        <sz val="14"/>
        <rFont val="Arial"/>
        <family val="2"/>
      </rPr>
      <t>2018</t>
    </r>
  </si>
  <si>
    <t xml:space="preserve">      For the year ended 31 December 2018</t>
  </si>
  <si>
    <t>NOT IN BRIDGETS CODING S/SHEET BUT HAS HAD A NIL VALUE. CHECK FOR 2018</t>
  </si>
  <si>
    <t>CHECK IF THERE ARE ANY BALANCES AND ALLOCATE IF THERE ARE</t>
  </si>
  <si>
    <t>checked</t>
  </si>
  <si>
    <t>Learning Resources - ORS</t>
  </si>
  <si>
    <t xml:space="preserve">Blank </t>
  </si>
  <si>
    <t>Caretaking and Cleaning Consumables</t>
  </si>
  <si>
    <t>Consultancy and Contract Services</t>
  </si>
  <si>
    <t>Cyclical Maintenance Expense</t>
  </si>
  <si>
    <t>Employee Benefits - Salaries</t>
  </si>
  <si>
    <t>Learning Resources - Vision Resource Centres</t>
  </si>
  <si>
    <t>4-8</t>
  </si>
  <si>
    <t>Telephone/tolls/fax</t>
  </si>
  <si>
    <t>Printing/stationery</t>
  </si>
  <si>
    <t>VRC Co-ordinators Meetings</t>
  </si>
  <si>
    <t>Ham-Tauranga Regional Meetings</t>
  </si>
  <si>
    <t>VRC Offsite Parking costs</t>
  </si>
  <si>
    <t>VRC Toll Road Charges</t>
  </si>
  <si>
    <t>Projects funded by Banked Staffing Cash</t>
  </si>
  <si>
    <t>Pedagogy 7</t>
  </si>
  <si>
    <t>Term 1</t>
  </si>
  <si>
    <t>Term 2</t>
  </si>
  <si>
    <t>Term 3</t>
  </si>
  <si>
    <t>Term 4</t>
  </si>
  <si>
    <t>Road Tolls</t>
  </si>
  <si>
    <t>Staff Recruitment-Tauranga</t>
  </si>
  <si>
    <t>National Software Expenses</t>
  </si>
  <si>
    <t>ICT Project costs</t>
  </si>
  <si>
    <t>Health &amp; Safety</t>
  </si>
  <si>
    <t>H&amp;S Wellbeing Committee</t>
  </si>
  <si>
    <t>Accessability Consultation</t>
  </si>
  <si>
    <t>Pedagogy 1</t>
  </si>
  <si>
    <t>Pedagogy 2</t>
  </si>
  <si>
    <t>Pedagogy 3</t>
  </si>
  <si>
    <t>Pedagogy 4</t>
  </si>
  <si>
    <t>Pedagogy 5</t>
  </si>
  <si>
    <t>Pedagogy 6</t>
  </si>
  <si>
    <t>Pedagogy 8</t>
  </si>
  <si>
    <t>Pedagogy 9</t>
  </si>
  <si>
    <t>Pedagogy 10</t>
  </si>
  <si>
    <t>Rubbish/Sanitary Disposal</t>
  </si>
  <si>
    <t>Staffing: Peer Mentoring</t>
  </si>
  <si>
    <t>Taranaki VRC Bequest</t>
  </si>
  <si>
    <t>X35170</t>
  </si>
  <si>
    <t>XD01</t>
  </si>
  <si>
    <t>XD01E</t>
  </si>
  <si>
    <t>The board has a cash management plan to ensure that sufficient cash is available to meet all maintenance obligations as they fall due over the next 10 years.  The amount recognised as a provision is the best estimate of the expenditure required to settle the present obligations as at 31 December 2018.  Present obligations are identified in the school's current 10 year property plan approved by the Ministry of Education. The provision has not been adjusted for inflation and the effect of the time value of money.</t>
  </si>
  <si>
    <t>(2017:Nil).</t>
  </si>
  <si>
    <t>There were no contingent assets or liabilities as at 31 December 2018. (2017:Nil)</t>
  </si>
  <si>
    <t>(Capital commitments at 31 December 2017: the school has committed to spend $3.68m in 2018 on the upgrade of the swimming pool building. The Ministry has approved funding for this project. Tender procedures have not yet been initiated.)</t>
  </si>
  <si>
    <t xml:space="preserve">As at 31 December 2018 the Board has entered into the following contracts: </t>
  </si>
  <si>
    <t>financial statements.(2017: Nil)</t>
  </si>
  <si>
    <t>The School receive the grant for Homai Early Childhood Education Centre, and pay it out to the Centre when received.  The school paid out $173,144 during 2018.(2017: $170,972)</t>
  </si>
  <si>
    <t>Equity at 31 December 2018</t>
  </si>
  <si>
    <t>Leases</t>
  </si>
  <si>
    <t>PrePaid Interest</t>
  </si>
  <si>
    <t>Leases Non Current</t>
  </si>
  <si>
    <t>The carrying value of long term deposits longer than 12 months approximates their fair value at 31 December 2018.</t>
  </si>
  <si>
    <t>Balance at 31 December 2018</t>
  </si>
  <si>
    <t>The financial reports have been prepared for the period 1 January 2018 to 31 December 2018 and in accordance with the requirements of the Public Finance Act 1989</t>
  </si>
  <si>
    <t>Long-term employee entitlements</t>
  </si>
  <si>
    <t>Employee benefits that are due to be settled beyond 12 months after the end of the period in which the employee renders the related service, such as long service leave and retirement gratuities, have been calculated on an actuarial basis. The calculations are based on:
• likely future entitlements accruing to staff, based on years of service, years to entitlement, the likelihood that staff will reach the point of entitlement, and contractual entitlement information; and
• the present value of the estimated future cash flows.</t>
  </si>
  <si>
    <t>The School have a contract with Homai Early Childhood Education Centre to provide services.  
The value of this contract is $18,829 excl GST (2017: $18,830 excl GST)</t>
  </si>
  <si>
    <r>
      <rPr>
        <b/>
        <sz val="10"/>
        <rFont val="Arial"/>
        <family val="2"/>
      </rPr>
      <t>Holidays Act Compliance – schools payroll</t>
    </r>
    <r>
      <rPr>
        <sz val="10"/>
        <rFont val="Arial"/>
        <family val="2"/>
      </rPr>
      <t xml:space="preserve">
The Ministry of Education performs payroll processing and payments on behalf of school boards of trustees, through payroll service provider Education Payroll Limited. 
The Ministry has commenced a review of the schools sector payroll to ensure compliance with the Holidays Act 2003.  The initial phase of this review has identified areas of non-compliance, however the potential impact on any specific school or individual and any associated historical liability will not be known until further detailed analysis has been completed.  
To the extent that any obligation cannot reasonably be quantified at 31 December 2018, a contingent liability for the school may exist.</t>
    </r>
  </si>
  <si>
    <t>The school has also committed to spend $3.68m in 2019 on the upgrade of the swimming pool building. The Ministry has approved funding for this project. Tender procedures have not yet been initiated.</t>
  </si>
  <si>
    <t>As at 31 December 2018 the school has committed to spend $133,000 for the purchase of a generator, $45,000 for the purchase of furniture, $16,078 for the purchase of lundia shelving.</t>
  </si>
  <si>
    <t>6 - 20</t>
  </si>
  <si>
    <t>Of the $7,131,473 in the School's funds, $206,723 is held on behalf of Homai Special Funds (2017: $208,028)</t>
  </si>
  <si>
    <t xml:space="preserve">The statement of cash flows records only those cash flows directly within the control of the School.  </t>
  </si>
  <si>
    <t>This means centrally funded teachers' salaries and the use of land and buildings grant and expense have been omitted.</t>
  </si>
  <si>
    <t>Nathaniel Louwrens</t>
  </si>
  <si>
    <t>Karen Stobbs</t>
  </si>
  <si>
    <t>Other Notes and Disclosures (attached separately)</t>
  </si>
  <si>
    <t>Independent Auditor's Report (attached separately)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</si>
</sst>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41" formatCode="_-* #,##0_-;\-* #,##0_-;_-* &quot;-&quot;_-;_-@_-"/>
    <numFmt numFmtId="44" formatCode="_-&quot;$&quot;* #,##0.00_-;\-&quot;$&quot;* #,##0.00_-;_-&quot;$&quot;* &quot;-&quot;??_-;_-@_-"/>
    <numFmt numFmtId="43" formatCode="_-* #,##0.00_-;\-* #,##0.00_-;_-* &quot;-&quot;??_-;_-@_-"/>
    <numFmt numFmtId="164" formatCode="_(* #,##0_);_(* \(#,##0\);_(* &quot;-&quot;_);_(@_)"/>
    <numFmt numFmtId="165" formatCode="_-* #,##0_-;\-* #,##0_-;_-* &quot;-&quot;??_-;_-@_-"/>
    <numFmt numFmtId="166" formatCode="_(* #,##0_);_(* \(#,##0\);_(* &quot;-&quot;??_);_(@_)"/>
    <numFmt numFmtId="167" formatCode="#,##0;\(#,##0\)"/>
    <numFmt numFmtId="168" formatCode="_-* #,##0_-;\(* #,##0_);_-* &quot;-&quot;??_-;_-@_-"/>
    <numFmt numFmtId="169" formatCode="_(* #,##0_);_(* \(#,##0\);_(* &quot;-&quot;??_);_-@_-"/>
    <numFmt numFmtId="170" formatCode="#,##0.00000000000"/>
    <numFmt numFmtId="171" formatCode="#,###,##0;\(#,###,##0\)"/>
    <numFmt numFmtId="172" formatCode="_(* #,##0.00_);_(* \(#,##0.00\);_(* &quot;-&quot;??_);_-@_-"/>
  </numFmts>
  <fonts count="90" x14ac:knownFonts="1">
    <font>
      <sz val="10"/>
      <name val="Arial"/>
    </font>
    <font>
      <sz val="11"/>
      <color theme="1"/>
      <name val="Calibri"/>
      <family val="2"/>
      <scheme val="minor"/>
    </font>
    <font>
      <sz val="10"/>
      <name val="Arial"/>
      <family val="2"/>
    </font>
    <font>
      <b/>
      <sz val="10"/>
      <name val="Arial"/>
      <family val="2"/>
    </font>
    <font>
      <sz val="10"/>
      <name val="Arial"/>
      <family val="2"/>
    </font>
    <font>
      <i/>
      <sz val="10"/>
      <name val="Arial"/>
      <family val="2"/>
    </font>
    <font>
      <sz val="14"/>
      <name val="Arial"/>
      <family val="2"/>
    </font>
    <font>
      <b/>
      <sz val="18"/>
      <name val="Arial"/>
      <family val="2"/>
    </font>
    <font>
      <b/>
      <sz val="10"/>
      <name val="Arial"/>
      <family val="2"/>
    </font>
    <font>
      <u/>
      <sz val="10"/>
      <color indexed="12"/>
      <name val="Arial"/>
      <family val="2"/>
    </font>
    <font>
      <b/>
      <sz val="12"/>
      <name val="Arial"/>
      <family val="2"/>
    </font>
    <font>
      <sz val="10"/>
      <color indexed="23"/>
      <name val="Arial"/>
      <family val="2"/>
    </font>
    <font>
      <sz val="10"/>
      <color indexed="10"/>
      <name val="Arial"/>
      <family val="2"/>
    </font>
    <font>
      <i/>
      <sz val="8"/>
      <name val="Arial"/>
      <family val="2"/>
    </font>
    <font>
      <sz val="10"/>
      <name val="Arial"/>
      <family val="2"/>
    </font>
    <font>
      <b/>
      <sz val="12"/>
      <name val="Arial"/>
      <family val="2"/>
    </font>
    <font>
      <sz val="8"/>
      <name val="Arial"/>
      <family val="2"/>
    </font>
    <font>
      <i/>
      <sz val="10"/>
      <name val="Arial"/>
      <family val="2"/>
    </font>
    <font>
      <sz val="10"/>
      <name val="Arial"/>
      <family val="2"/>
    </font>
    <font>
      <b/>
      <sz val="10"/>
      <color indexed="10"/>
      <name val="Arial"/>
      <family val="2"/>
    </font>
    <font>
      <b/>
      <sz val="11"/>
      <name val="Arial"/>
      <family val="2"/>
    </font>
    <font>
      <sz val="11"/>
      <name val="Arial"/>
      <family val="2"/>
    </font>
    <font>
      <b/>
      <sz val="14"/>
      <name val="Arial"/>
      <family val="2"/>
    </font>
    <font>
      <sz val="14"/>
      <name val="Arial"/>
      <family val="2"/>
    </font>
    <font>
      <sz val="10"/>
      <color indexed="8"/>
      <name val="Arial"/>
      <family val="2"/>
    </font>
    <font>
      <sz val="10"/>
      <color indexed="8"/>
      <name val="Arial"/>
      <family val="2"/>
    </font>
    <font>
      <sz val="10"/>
      <color indexed="10"/>
      <name val="Arial"/>
      <family val="2"/>
    </font>
    <font>
      <b/>
      <sz val="11"/>
      <color indexed="8"/>
      <name val="Calibri"/>
      <family val="2"/>
    </font>
    <font>
      <b/>
      <sz val="10"/>
      <color indexed="8"/>
      <name val="Arial"/>
      <family val="2"/>
    </font>
    <font>
      <i/>
      <sz val="10"/>
      <color indexed="10"/>
      <name val="Arial"/>
      <family val="2"/>
    </font>
    <font>
      <i/>
      <sz val="8"/>
      <name val="Arial"/>
      <family val="2"/>
    </font>
    <font>
      <sz val="9"/>
      <name val="Cambria"/>
      <family val="1"/>
    </font>
    <font>
      <sz val="10"/>
      <name val="Times New Roman"/>
      <family val="1"/>
    </font>
    <font>
      <b/>
      <sz val="9"/>
      <name val="Cambria"/>
      <family val="1"/>
    </font>
    <font>
      <b/>
      <sz val="16"/>
      <name val="Times New Roman"/>
      <family val="1"/>
    </font>
    <font>
      <sz val="20"/>
      <name val="Arial"/>
      <family val="2"/>
    </font>
    <font>
      <b/>
      <sz val="24"/>
      <name val="Arial"/>
      <family val="2"/>
    </font>
    <font>
      <sz val="16"/>
      <name val="Times New Roman"/>
      <family val="1"/>
    </font>
    <font>
      <b/>
      <sz val="20"/>
      <name val="Times New Roman"/>
      <family val="1"/>
    </font>
    <font>
      <b/>
      <sz val="36"/>
      <name val="Arial"/>
      <family val="2"/>
    </font>
    <font>
      <b/>
      <sz val="12"/>
      <color indexed="23"/>
      <name val="Arial"/>
      <family val="2"/>
    </font>
    <font>
      <b/>
      <i/>
      <sz val="11"/>
      <name val="Arial"/>
      <family val="2"/>
    </font>
    <font>
      <sz val="11"/>
      <color indexed="8"/>
      <name val="Calibri"/>
      <family val="2"/>
    </font>
    <font>
      <b/>
      <sz val="11"/>
      <color indexed="8"/>
      <name val="Calibri"/>
      <family val="2"/>
    </font>
    <font>
      <sz val="11"/>
      <color indexed="10"/>
      <name val="Calibri"/>
      <family val="2"/>
    </font>
    <font>
      <b/>
      <sz val="11"/>
      <color indexed="8"/>
      <name val="Arial"/>
      <family val="2"/>
    </font>
    <font>
      <b/>
      <sz val="12"/>
      <color indexed="8"/>
      <name val="Arial"/>
      <family val="2"/>
    </font>
    <font>
      <b/>
      <i/>
      <sz val="11"/>
      <color indexed="8"/>
      <name val="Arial"/>
      <family val="2"/>
    </font>
    <font>
      <i/>
      <sz val="11"/>
      <color indexed="8"/>
      <name val="Arial"/>
      <family val="2"/>
    </font>
    <font>
      <b/>
      <i/>
      <sz val="11"/>
      <color indexed="8"/>
      <name val="Calibri"/>
      <family val="2"/>
    </font>
    <font>
      <b/>
      <i/>
      <sz val="11"/>
      <color indexed="8"/>
      <name val="Arial"/>
      <family val="2"/>
    </font>
    <font>
      <sz val="11"/>
      <color indexed="8"/>
      <name val="Arial"/>
      <family val="2"/>
    </font>
    <font>
      <b/>
      <sz val="11"/>
      <color indexed="8"/>
      <name val="Arial"/>
      <family val="2"/>
    </font>
    <font>
      <b/>
      <sz val="12"/>
      <color indexed="8"/>
      <name val="Arial"/>
      <family val="2"/>
    </font>
    <font>
      <sz val="11"/>
      <color indexed="10"/>
      <name val="Arial"/>
      <family val="2"/>
    </font>
    <font>
      <sz val="11"/>
      <name val="Calibri"/>
      <family val="2"/>
    </font>
    <font>
      <b/>
      <sz val="11"/>
      <color indexed="23"/>
      <name val="Arial"/>
      <family val="2"/>
    </font>
    <font>
      <b/>
      <sz val="12"/>
      <color indexed="23"/>
      <name val="Arial"/>
      <family val="2"/>
    </font>
    <font>
      <sz val="11"/>
      <color indexed="8"/>
      <name val="Arial"/>
      <family val="2"/>
    </font>
    <font>
      <b/>
      <i/>
      <sz val="12"/>
      <color indexed="8"/>
      <name val="Arial"/>
      <family val="2"/>
    </font>
    <font>
      <sz val="14"/>
      <color indexed="8"/>
      <name val="Arial"/>
      <family val="2"/>
    </font>
    <font>
      <b/>
      <sz val="18"/>
      <color indexed="8"/>
      <name val="Arial"/>
      <family val="2"/>
    </font>
    <font>
      <i/>
      <sz val="11"/>
      <color indexed="8"/>
      <name val="Arial"/>
      <family val="2"/>
    </font>
    <font>
      <i/>
      <sz val="11"/>
      <color indexed="8"/>
      <name val="Calibri"/>
      <family val="2"/>
    </font>
    <font>
      <b/>
      <sz val="12"/>
      <color indexed="8"/>
      <name val="Calibri"/>
      <family val="2"/>
    </font>
    <font>
      <sz val="10"/>
      <name val="Arial"/>
      <family val="2"/>
    </font>
    <font>
      <sz val="8"/>
      <name val="Arial"/>
      <family val="2"/>
    </font>
    <font>
      <b/>
      <u/>
      <sz val="10"/>
      <name val="Arial"/>
      <family val="2"/>
    </font>
    <font>
      <sz val="10"/>
      <name val="Arial"/>
      <family val="2"/>
    </font>
    <font>
      <sz val="10"/>
      <color indexed="0"/>
      <name val="Arial"/>
      <family val="2"/>
    </font>
    <font>
      <sz val="12"/>
      <name val="Arial"/>
      <family val="2"/>
    </font>
    <font>
      <b/>
      <sz val="26"/>
      <name val="Arial"/>
      <family val="2"/>
    </font>
    <font>
      <b/>
      <sz val="22"/>
      <name val="Arial"/>
      <family val="2"/>
    </font>
    <font>
      <sz val="10"/>
      <color indexed="17"/>
      <name val="Arial"/>
      <family val="2"/>
    </font>
    <font>
      <b/>
      <i/>
      <sz val="11"/>
      <color indexed="10"/>
      <name val="Arial"/>
      <family val="2"/>
    </font>
    <font>
      <sz val="11"/>
      <name val="Arial"/>
      <family val="2"/>
    </font>
    <font>
      <i/>
      <sz val="12"/>
      <name val="Arial"/>
      <family val="2"/>
    </font>
    <font>
      <sz val="10"/>
      <name val="Tahoma"/>
      <family val="2"/>
    </font>
    <font>
      <b/>
      <sz val="18"/>
      <name val="Tahoma"/>
      <family val="2"/>
    </font>
    <font>
      <sz val="11"/>
      <color theme="1"/>
      <name val="Calibri"/>
      <family val="2"/>
      <scheme val="minor"/>
    </font>
    <font>
      <u/>
      <sz val="6"/>
      <color theme="10"/>
      <name val="Arial"/>
      <family val="2"/>
    </font>
    <font>
      <sz val="10"/>
      <color theme="1"/>
      <name val="Arial"/>
      <family val="2"/>
    </font>
    <font>
      <b/>
      <sz val="10"/>
      <color theme="1"/>
      <name val="Arial"/>
      <family val="2"/>
    </font>
    <font>
      <b/>
      <sz val="20"/>
      <name val="Arial"/>
      <family val="2"/>
    </font>
    <font>
      <b/>
      <i/>
      <sz val="10"/>
      <name val="Arial"/>
      <family val="2"/>
    </font>
    <font>
      <i/>
      <sz val="10"/>
      <color theme="1"/>
      <name val="Arial"/>
      <family val="2"/>
    </font>
    <font>
      <sz val="10"/>
      <color rgb="FFFF0000"/>
      <name val="Arial"/>
      <family val="2"/>
    </font>
    <font>
      <b/>
      <sz val="12"/>
      <color rgb="FFFF0000"/>
      <name val="Arial"/>
      <family val="2"/>
    </font>
    <font>
      <b/>
      <sz val="16"/>
      <name val="Arial"/>
      <family val="2"/>
    </font>
    <font>
      <sz val="16"/>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9"/>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34"/>
        <bgColor indexed="64"/>
      </patternFill>
    </fill>
  </fills>
  <borders count="19">
    <border>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28">
    <xf numFmtId="0" fontId="0" fillId="0" borderId="0"/>
    <xf numFmtId="167" fontId="4" fillId="0" borderId="0"/>
    <xf numFmtId="43" fontId="2" fillId="0" borderId="0" applyFont="0" applyFill="0" applyBorder="0" applyAlignment="0" applyProtection="0"/>
    <xf numFmtId="43" fontId="4" fillId="0" borderId="0" applyFont="0" applyFill="0" applyBorder="0" applyAlignment="0" applyProtection="0"/>
    <xf numFmtId="43" fontId="2" fillId="0" borderId="0" applyNumberForma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0" fontId="16" fillId="0" borderId="0">
      <alignment horizontal="left"/>
    </xf>
    <xf numFmtId="171" fontId="69" fillId="0" borderId="0"/>
    <xf numFmtId="0" fontId="22" fillId="0" borderId="0">
      <alignment horizontal="left"/>
    </xf>
    <xf numFmtId="0" fontId="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2" fillId="0" borderId="0"/>
    <xf numFmtId="0" fontId="4" fillId="0" borderId="0"/>
    <xf numFmtId="0" fontId="2" fillId="0" borderId="0"/>
    <xf numFmtId="0" fontId="79" fillId="0" borderId="0"/>
    <xf numFmtId="0" fontId="4" fillId="0" borderId="0"/>
    <xf numFmtId="0" fontId="4" fillId="0" borderId="0"/>
    <xf numFmtId="9" fontId="2" fillId="0" borderId="0" applyFont="0" applyFill="0" applyBorder="0" applyAlignment="0" applyProtection="0"/>
    <xf numFmtId="0" fontId="2" fillId="0" borderId="0">
      <alignment horizontal="left"/>
    </xf>
    <xf numFmtId="0" fontId="70" fillId="0" borderId="0">
      <alignment horizontal="left"/>
    </xf>
    <xf numFmtId="0" fontId="3" fillId="0" borderId="1"/>
    <xf numFmtId="0" fontId="68" fillId="0" borderId="0"/>
    <xf numFmtId="0" fontId="1" fillId="0" borderId="0"/>
    <xf numFmtId="0" fontId="83" fillId="0" borderId="16" applyNumberFormat="0" applyFill="0" applyBorder="0" applyAlignment="0" applyProtection="0"/>
    <xf numFmtId="0" fontId="88" fillId="0" borderId="17" applyNumberFormat="0" applyFill="0" applyBorder="0" applyAlignment="0" applyProtection="0"/>
    <xf numFmtId="0" fontId="89" fillId="0" borderId="18" applyNumberFormat="0" applyFill="0" applyBorder="0" applyAlignment="0" applyProtection="0"/>
    <xf numFmtId="0" fontId="22" fillId="0" borderId="0" applyNumberFormat="0" applyFill="0" applyBorder="0" applyAlignment="0" applyProtection="0"/>
  </cellStyleXfs>
  <cellXfs count="611">
    <xf numFmtId="0" fontId="0" fillId="0" borderId="0" xfId="0"/>
    <xf numFmtId="0" fontId="3" fillId="0" borderId="0" xfId="0" applyFont="1"/>
    <xf numFmtId="0" fontId="0" fillId="0" borderId="0" xfId="0" applyAlignment="1">
      <alignment wrapText="1"/>
    </xf>
    <xf numFmtId="0" fontId="0" fillId="0" borderId="0" xfId="0" applyAlignment="1">
      <alignment horizontal="right"/>
    </xf>
    <xf numFmtId="0" fontId="0" fillId="0" borderId="0" xfId="0" applyAlignment="1">
      <alignment horizontal="center"/>
    </xf>
    <xf numFmtId="3" fontId="0" fillId="0" borderId="0" xfId="0" applyNumberFormat="1"/>
    <xf numFmtId="0" fontId="0" fillId="0" borderId="0" xfId="0" applyAlignment="1"/>
    <xf numFmtId="0" fontId="4" fillId="0" borderId="0" xfId="0" applyFont="1"/>
    <xf numFmtId="0" fontId="0" fillId="0" borderId="0" xfId="0" applyFill="1"/>
    <xf numFmtId="3" fontId="0" fillId="0" borderId="0" xfId="0" applyNumberFormat="1" applyFill="1"/>
    <xf numFmtId="0" fontId="3" fillId="0" borderId="0" xfId="0" applyFont="1" applyFill="1"/>
    <xf numFmtId="0" fontId="4" fillId="0" borderId="0" xfId="0" applyFont="1" applyFill="1"/>
    <xf numFmtId="3" fontId="0" fillId="0" borderId="0" xfId="0" applyNumberFormat="1" applyFill="1" applyBorder="1"/>
    <xf numFmtId="0" fontId="6" fillId="0" borderId="0" xfId="0" applyFont="1" applyAlignment="1">
      <alignment vertical="top"/>
    </xf>
    <xf numFmtId="0" fontId="7" fillId="0" borderId="0" xfId="0" applyFont="1"/>
    <xf numFmtId="0" fontId="8" fillId="0" borderId="0" xfId="0" applyFont="1" applyFill="1" applyAlignment="1">
      <alignment horizontal="center" wrapText="1"/>
    </xf>
    <xf numFmtId="0" fontId="10" fillId="0" borderId="0" xfId="0" applyFont="1" applyFill="1" applyAlignment="1">
      <alignment vertical="top"/>
    </xf>
    <xf numFmtId="0" fontId="11" fillId="0" borderId="0" xfId="0" applyFont="1" applyAlignment="1">
      <alignment horizontal="right"/>
    </xf>
    <xf numFmtId="0" fontId="0" fillId="0" borderId="0" xfId="0" applyFill="1" applyBorder="1"/>
    <xf numFmtId="0" fontId="0" fillId="0" borderId="0" xfId="0" applyBorder="1"/>
    <xf numFmtId="0" fontId="13" fillId="0" borderId="0" xfId="0" applyFont="1"/>
    <xf numFmtId="0" fontId="4" fillId="0" borderId="0" xfId="0" applyFont="1" applyAlignment="1">
      <alignment horizontal="right"/>
    </xf>
    <xf numFmtId="0" fontId="11" fillId="0" borderId="0" xfId="0" applyFont="1"/>
    <xf numFmtId="0" fontId="11" fillId="0" borderId="0" xfId="0" applyFont="1" applyAlignment="1">
      <alignment horizontal="center"/>
    </xf>
    <xf numFmtId="0" fontId="14" fillId="0" borderId="0" xfId="0" applyFont="1"/>
    <xf numFmtId="0" fontId="2" fillId="0" borderId="0" xfId="0" applyFont="1"/>
    <xf numFmtId="0" fontId="2" fillId="0" borderId="0" xfId="0" applyFont="1" applyFill="1"/>
    <xf numFmtId="0" fontId="0" fillId="0" borderId="0" xfId="0" applyFill="1" applyAlignment="1">
      <alignment horizontal="left" indent="1"/>
    </xf>
    <xf numFmtId="3" fontId="0" fillId="0" borderId="0" xfId="0" applyNumberFormat="1" applyFill="1" applyBorder="1" applyAlignment="1">
      <alignment horizontal="right"/>
    </xf>
    <xf numFmtId="0" fontId="0" fillId="0" borderId="0" xfId="0" applyFill="1" applyBorder="1" applyAlignment="1">
      <alignment horizontal="right"/>
    </xf>
    <xf numFmtId="165" fontId="0" fillId="0" borderId="0" xfId="2" applyNumberFormat="1" applyFont="1" applyFill="1" applyAlignment="1">
      <alignment horizontal="right"/>
    </xf>
    <xf numFmtId="0" fontId="10" fillId="0" borderId="0" xfId="0" applyFont="1" applyFill="1" applyBorder="1" applyAlignment="1">
      <alignment vertical="top"/>
    </xf>
    <xf numFmtId="0" fontId="3" fillId="0" borderId="0" xfId="0" applyFont="1" applyFill="1" applyAlignment="1">
      <alignment horizontal="left"/>
    </xf>
    <xf numFmtId="3" fontId="4" fillId="0" borderId="0" xfId="0" applyNumberFormat="1" applyFont="1" applyFill="1"/>
    <xf numFmtId="165" fontId="0" fillId="0" borderId="0" xfId="2" applyNumberFormat="1" applyFont="1" applyFill="1" applyBorder="1" applyAlignment="1">
      <alignment horizontal="right"/>
    </xf>
    <xf numFmtId="0" fontId="2" fillId="0" borderId="0" xfId="0" applyFont="1" applyAlignment="1">
      <alignment vertical="top"/>
    </xf>
    <xf numFmtId="0" fontId="8" fillId="0" borderId="0" xfId="0" applyFont="1" applyFill="1" applyAlignment="1">
      <alignment vertical="top"/>
    </xf>
    <xf numFmtId="3" fontId="2" fillId="0" borderId="0" xfId="0" applyNumberFormat="1" applyFont="1" applyFill="1" applyBorder="1"/>
    <xf numFmtId="0" fontId="2" fillId="0" borderId="0" xfId="0" applyFont="1" applyFill="1" applyAlignment="1">
      <alignment horizontal="left" indent="1"/>
    </xf>
    <xf numFmtId="0" fontId="4" fillId="0" borderId="0" xfId="0" applyFont="1" applyBorder="1"/>
    <xf numFmtId="0" fontId="0" fillId="0" borderId="0" xfId="0" applyFill="1" applyAlignment="1">
      <alignment horizontal="center"/>
    </xf>
    <xf numFmtId="165" fontId="0" fillId="0" borderId="0" xfId="0" applyNumberFormat="1"/>
    <xf numFmtId="3" fontId="2" fillId="0" borderId="0" xfId="0" applyNumberFormat="1" applyFont="1" applyFill="1" applyBorder="1" applyAlignment="1">
      <alignment horizontal="right"/>
    </xf>
    <xf numFmtId="0" fontId="15" fillId="0" borderId="0" xfId="0" applyFont="1" applyFill="1" applyAlignment="1">
      <alignment vertical="top"/>
    </xf>
    <xf numFmtId="165" fontId="0" fillId="0" borderId="0" xfId="0" applyNumberFormat="1" applyBorder="1"/>
    <xf numFmtId="0" fontId="11" fillId="0" borderId="0" xfId="0" applyFont="1" applyFill="1" applyBorder="1" applyAlignment="1">
      <alignment horizontal="right"/>
    </xf>
    <xf numFmtId="3" fontId="0" fillId="0" borderId="2" xfId="0" applyNumberFormat="1" applyFill="1" applyBorder="1" applyAlignment="1">
      <alignment horizontal="right"/>
    </xf>
    <xf numFmtId="0" fontId="3" fillId="0" borderId="0" xfId="0" applyFont="1" applyFill="1" applyBorder="1" applyAlignment="1">
      <alignment horizontal="center" wrapText="1"/>
    </xf>
    <xf numFmtId="3" fontId="2" fillId="0" borderId="0" xfId="0" applyNumberFormat="1" applyFont="1" applyFill="1"/>
    <xf numFmtId="3" fontId="2" fillId="0" borderId="0" xfId="0" applyNumberFormat="1" applyFont="1" applyFill="1" applyBorder="1" applyAlignment="1">
      <alignment horizontal="center"/>
    </xf>
    <xf numFmtId="0" fontId="11" fillId="0" borderId="0" xfId="0" applyFont="1" applyFill="1" applyAlignment="1"/>
    <xf numFmtId="0" fontId="11" fillId="0" borderId="0" xfId="0" applyFont="1" applyFill="1" applyAlignment="1">
      <alignment horizontal="right"/>
    </xf>
    <xf numFmtId="165" fontId="0" fillId="0" borderId="0" xfId="0" applyNumberFormat="1" applyFill="1"/>
    <xf numFmtId="0" fontId="14" fillId="0" borderId="0" xfId="0" applyFont="1" applyFill="1"/>
    <xf numFmtId="3" fontId="0" fillId="0" borderId="0" xfId="0" applyNumberFormat="1" applyFill="1" applyAlignment="1">
      <alignment horizontal="right"/>
    </xf>
    <xf numFmtId="3" fontId="0" fillId="0" borderId="0" xfId="2" applyNumberFormat="1" applyFont="1" applyFill="1" applyBorder="1" applyAlignment="1">
      <alignment horizontal="right"/>
    </xf>
    <xf numFmtId="164" fontId="0" fillId="0" borderId="0" xfId="0" applyNumberFormat="1" applyFill="1"/>
    <xf numFmtId="0" fontId="0" fillId="0" borderId="0" xfId="0" applyFill="1" applyAlignment="1">
      <alignment vertical="top"/>
    </xf>
    <xf numFmtId="0" fontId="3" fillId="0" borderId="0" xfId="0" applyFont="1" applyFill="1" applyAlignment="1">
      <alignment horizontal="center" wrapText="1"/>
    </xf>
    <xf numFmtId="166" fontId="0" fillId="0" borderId="0" xfId="0" applyNumberFormat="1" applyFill="1"/>
    <xf numFmtId="166" fontId="0" fillId="0" borderId="0" xfId="0" applyNumberFormat="1" applyFill="1" applyBorder="1" applyAlignment="1">
      <alignment horizontal="right"/>
    </xf>
    <xf numFmtId="0" fontId="3" fillId="0" borderId="0" xfId="0" applyFont="1" applyFill="1" applyAlignment="1">
      <alignment vertical="top"/>
    </xf>
    <xf numFmtId="0" fontId="3" fillId="0" borderId="0" xfId="0" applyFont="1" applyFill="1" applyAlignment="1">
      <alignment horizontal="center"/>
    </xf>
    <xf numFmtId="0" fontId="19" fillId="0" borderId="0" xfId="0" applyFont="1" applyFill="1" applyBorder="1"/>
    <xf numFmtId="3" fontId="4" fillId="0" borderId="0" xfId="0" applyNumberFormat="1" applyFont="1" applyFill="1" applyBorder="1"/>
    <xf numFmtId="0" fontId="3" fillId="0" borderId="0" xfId="0" applyFont="1" applyFill="1" applyAlignment="1">
      <alignment horizontal="right" wrapText="1"/>
    </xf>
    <xf numFmtId="0" fontId="4" fillId="0" borderId="0" xfId="0" applyFont="1" applyFill="1" applyBorder="1"/>
    <xf numFmtId="0" fontId="22" fillId="0" borderId="0" xfId="0" applyFont="1"/>
    <xf numFmtId="0" fontId="22" fillId="0" borderId="0" xfId="0" applyFont="1" applyAlignment="1">
      <alignment horizontal="center"/>
    </xf>
    <xf numFmtId="0" fontId="22" fillId="0" borderId="0" xfId="0" applyFont="1" applyAlignment="1">
      <alignment horizontal="right"/>
    </xf>
    <xf numFmtId="0" fontId="3" fillId="0" borderId="0" xfId="0" applyFont="1" applyAlignment="1">
      <alignment horizontal="right"/>
    </xf>
    <xf numFmtId="0" fontId="3" fillId="0" borderId="0" xfId="0" applyFont="1" applyAlignment="1">
      <alignment horizontal="center"/>
    </xf>
    <xf numFmtId="0" fontId="3" fillId="0" borderId="0" xfId="0" applyFont="1" applyBorder="1"/>
    <xf numFmtId="0" fontId="23" fillId="0" borderId="0" xfId="0" applyFont="1" applyAlignment="1">
      <alignment vertical="top"/>
    </xf>
    <xf numFmtId="0" fontId="26" fillId="0" borderId="0" xfId="0" applyFont="1" applyFill="1"/>
    <xf numFmtId="3" fontId="0" fillId="2" borderId="0" xfId="0" applyNumberFormat="1" applyFill="1" applyBorder="1"/>
    <xf numFmtId="3" fontId="0" fillId="0" borderId="3" xfId="0" applyNumberFormat="1" applyFill="1" applyBorder="1" applyAlignment="1">
      <alignment horizontal="right"/>
    </xf>
    <xf numFmtId="0" fontId="12" fillId="0" borderId="0" xfId="0" applyFont="1" applyFill="1"/>
    <xf numFmtId="0" fontId="27" fillId="0" borderId="0" xfId="0" applyFont="1"/>
    <xf numFmtId="166" fontId="2" fillId="0" borderId="0" xfId="0" applyNumberFormat="1" applyFont="1" applyFill="1" applyAlignment="1">
      <alignment horizontal="right" vertical="top"/>
    </xf>
    <xf numFmtId="169" fontId="0" fillId="0" borderId="0" xfId="0" applyNumberFormat="1" applyFill="1" applyAlignment="1">
      <alignment horizontal="right"/>
    </xf>
    <xf numFmtId="169" fontId="0" fillId="0" borderId="0" xfId="0" applyNumberFormat="1" applyFill="1" applyBorder="1" applyAlignment="1">
      <alignment horizontal="right"/>
    </xf>
    <xf numFmtId="0" fontId="2" fillId="0" borderId="0" xfId="0" applyFont="1" applyFill="1" applyAlignment="1">
      <alignment horizontal="left" vertical="top"/>
    </xf>
    <xf numFmtId="0" fontId="29" fillId="0" borderId="0" xfId="0" applyFont="1" applyFill="1"/>
    <xf numFmtId="0" fontId="30" fillId="0" borderId="0" xfId="0" applyFont="1"/>
    <xf numFmtId="0" fontId="4" fillId="0" borderId="0" xfId="13"/>
    <xf numFmtId="0" fontId="20" fillId="0" borderId="0" xfId="13" applyFont="1" applyFill="1"/>
    <xf numFmtId="14" fontId="4" fillId="0" borderId="0" xfId="13" applyNumberFormat="1"/>
    <xf numFmtId="0" fontId="4" fillId="0" borderId="0" xfId="13" applyBorder="1"/>
    <xf numFmtId="0" fontId="4" fillId="0" borderId="0" xfId="13" applyFont="1" applyFill="1" applyBorder="1"/>
    <xf numFmtId="0" fontId="32" fillId="0" borderId="0" xfId="13" applyFont="1" applyFill="1" applyBorder="1"/>
    <xf numFmtId="0" fontId="33" fillId="0" borderId="0" xfId="13" applyFont="1" applyBorder="1" applyAlignment="1"/>
    <xf numFmtId="0" fontId="4" fillId="0" borderId="0" xfId="13" applyFont="1" applyBorder="1" applyAlignment="1"/>
    <xf numFmtId="0" fontId="3" fillId="0" borderId="0" xfId="13" applyFont="1" applyBorder="1" applyAlignment="1"/>
    <xf numFmtId="0" fontId="31" fillId="0" borderId="0" xfId="13" applyFont="1" applyBorder="1" applyAlignment="1"/>
    <xf numFmtId="0" fontId="31" fillId="0" borderId="0" xfId="13" applyFont="1" applyFill="1" applyBorder="1" applyAlignment="1">
      <alignment vertical="top" wrapText="1"/>
    </xf>
    <xf numFmtId="0" fontId="4" fillId="0" borderId="0" xfId="13" applyFont="1" applyFill="1" applyBorder="1" applyAlignment="1">
      <alignment horizontal="left" vertical="top"/>
    </xf>
    <xf numFmtId="15" fontId="34" fillId="0" borderId="0" xfId="13" applyNumberFormat="1" applyFont="1" applyFill="1" applyBorder="1"/>
    <xf numFmtId="0" fontId="31" fillId="0" borderId="0" xfId="13" applyFont="1" applyFill="1" applyBorder="1" applyAlignment="1">
      <alignment horizontal="center"/>
    </xf>
    <xf numFmtId="0" fontId="4" fillId="0" borderId="0" xfId="13" applyFont="1" applyFill="1" applyBorder="1" applyAlignment="1">
      <alignment horizontal="left"/>
    </xf>
    <xf numFmtId="0" fontId="35" fillId="0" borderId="0" xfId="13" applyFont="1" applyFill="1" applyBorder="1" applyAlignment="1">
      <alignment horizontal="center"/>
    </xf>
    <xf numFmtId="0" fontId="31" fillId="0" borderId="0" xfId="13" applyFont="1" applyFill="1" applyBorder="1" applyAlignment="1"/>
    <xf numFmtId="0" fontId="4" fillId="0" borderId="0" xfId="13" applyFont="1" applyFill="1" applyBorder="1" applyAlignment="1"/>
    <xf numFmtId="0" fontId="35" fillId="0" borderId="0" xfId="13" applyFont="1" applyFill="1" applyBorder="1" applyAlignment="1"/>
    <xf numFmtId="0" fontId="34" fillId="0" borderId="0" xfId="13" applyFont="1" applyFill="1" applyBorder="1"/>
    <xf numFmtId="0" fontId="38" fillId="0" borderId="0" xfId="13" applyFont="1" applyFill="1" applyBorder="1"/>
    <xf numFmtId="0" fontId="37" fillId="0" borderId="0" xfId="13" applyFont="1" applyFill="1" applyBorder="1"/>
    <xf numFmtId="0" fontId="4" fillId="3" borderId="0" xfId="0" applyFont="1" applyFill="1" applyAlignment="1"/>
    <xf numFmtId="0" fontId="4" fillId="3" borderId="0" xfId="0" applyFont="1" applyFill="1"/>
    <xf numFmtId="0" fontId="4" fillId="3" borderId="0" xfId="0" applyFont="1" applyFill="1" applyAlignment="1">
      <alignment horizontal="right"/>
    </xf>
    <xf numFmtId="0" fontId="0" fillId="3" borderId="0" xfId="0" applyFill="1"/>
    <xf numFmtId="0" fontId="21" fillId="0" borderId="0" xfId="13" applyFont="1"/>
    <xf numFmtId="0" fontId="42" fillId="0" borderId="0" xfId="15" applyFont="1" applyAlignment="1">
      <alignment wrapText="1"/>
    </xf>
    <xf numFmtId="0" fontId="4" fillId="0" borderId="0" xfId="13" applyAlignment="1">
      <alignment wrapText="1"/>
    </xf>
    <xf numFmtId="0" fontId="45" fillId="0" borderId="0" xfId="15" applyFont="1"/>
    <xf numFmtId="0" fontId="20" fillId="0" borderId="0" xfId="15" applyFont="1"/>
    <xf numFmtId="0" fontId="46" fillId="0" borderId="0" xfId="15" applyFont="1"/>
    <xf numFmtId="0" fontId="10" fillId="0" borderId="0" xfId="15" applyFont="1"/>
    <xf numFmtId="0" fontId="21" fillId="0" borderId="0" xfId="13" applyFont="1" applyAlignment="1">
      <alignment wrapText="1"/>
    </xf>
    <xf numFmtId="0" fontId="43" fillId="0" borderId="0" xfId="15" applyFont="1" applyAlignment="1"/>
    <xf numFmtId="0" fontId="43" fillId="0" borderId="0" xfId="15" applyFont="1" applyAlignment="1">
      <alignment horizontal="left"/>
    </xf>
    <xf numFmtId="0" fontId="45" fillId="0" borderId="0" xfId="15" applyFont="1" applyAlignment="1">
      <alignment horizontal="left"/>
    </xf>
    <xf numFmtId="0" fontId="47" fillId="0" borderId="0" xfId="15" applyFont="1"/>
    <xf numFmtId="0" fontId="48" fillId="0" borderId="0" xfId="15" applyFont="1"/>
    <xf numFmtId="0" fontId="49" fillId="0" borderId="0" xfId="15" applyFont="1" applyAlignment="1">
      <alignment horizontal="left"/>
    </xf>
    <xf numFmtId="0" fontId="50" fillId="0" borderId="0" xfId="15" applyFont="1" applyAlignment="1">
      <alignment horizontal="left"/>
    </xf>
    <xf numFmtId="0" fontId="42" fillId="0" borderId="0" xfId="15" applyFont="1"/>
    <xf numFmtId="0" fontId="51" fillId="0" borderId="0" xfId="15" applyFont="1"/>
    <xf numFmtId="0" fontId="52" fillId="0" borderId="0" xfId="15" applyFont="1"/>
    <xf numFmtId="0" fontId="53" fillId="0" borderId="0" xfId="15" applyFont="1"/>
    <xf numFmtId="0" fontId="42" fillId="0" borderId="0" xfId="15" applyFont="1" applyAlignment="1"/>
    <xf numFmtId="0" fontId="54" fillId="0" borderId="0" xfId="15" applyFont="1" applyFill="1" applyAlignment="1"/>
    <xf numFmtId="0" fontId="44" fillId="0" borderId="0" xfId="15" applyFont="1" applyFill="1" applyAlignment="1"/>
    <xf numFmtId="0" fontId="21" fillId="0" borderId="0" xfId="15" applyFont="1"/>
    <xf numFmtId="0" fontId="56" fillId="0" borderId="0" xfId="15" applyFont="1"/>
    <xf numFmtId="0" fontId="57" fillId="0" borderId="0" xfId="15" applyFont="1"/>
    <xf numFmtId="0" fontId="58" fillId="0" borderId="0" xfId="15" applyFont="1" applyAlignment="1">
      <alignment wrapText="1"/>
    </xf>
    <xf numFmtId="0" fontId="59" fillId="0" borderId="0" xfId="15" applyFont="1"/>
    <xf numFmtId="0" fontId="58" fillId="0" borderId="0" xfId="15" applyFont="1"/>
    <xf numFmtId="0" fontId="41" fillId="0" borderId="0" xfId="15" applyFont="1"/>
    <xf numFmtId="0" fontId="79" fillId="0" borderId="0" xfId="15"/>
    <xf numFmtId="0" fontId="60" fillId="0" borderId="0" xfId="15" applyFont="1"/>
    <xf numFmtId="0" fontId="61" fillId="0" borderId="0" xfId="15" applyFont="1"/>
    <xf numFmtId="3" fontId="4" fillId="0" borderId="4" xfId="0" applyNumberFormat="1" applyFont="1" applyFill="1" applyBorder="1" applyAlignment="1">
      <alignment horizontal="right"/>
    </xf>
    <xf numFmtId="3" fontId="4"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164" fontId="21" fillId="0" borderId="0" xfId="3" applyNumberFormat="1" applyFont="1" applyFill="1" applyProtection="1"/>
    <xf numFmtId="164" fontId="21" fillId="0" borderId="2" xfId="3" applyNumberFormat="1" applyFont="1" applyFill="1" applyBorder="1" applyProtection="1"/>
    <xf numFmtId="41" fontId="0" fillId="0" borderId="0" xfId="0" applyNumberFormat="1"/>
    <xf numFmtId="0" fontId="36" fillId="0" borderId="0" xfId="13" applyFont="1" applyFill="1" applyBorder="1" applyAlignment="1">
      <alignment horizontal="center"/>
    </xf>
    <xf numFmtId="0" fontId="51" fillId="0" borderId="0" xfId="15" applyFont="1" applyAlignment="1">
      <alignment wrapText="1"/>
    </xf>
    <xf numFmtId="0" fontId="58" fillId="0" borderId="0" xfId="15" applyFont="1" applyAlignment="1"/>
    <xf numFmtId="0" fontId="55" fillId="0" borderId="0" xfId="15" applyFont="1" applyAlignment="1">
      <alignment wrapText="1"/>
    </xf>
    <xf numFmtId="0" fontId="3" fillId="0" borderId="0" xfId="13" applyFont="1" applyFill="1" applyBorder="1" applyAlignment="1"/>
    <xf numFmtId="0" fontId="2" fillId="0" borderId="0" xfId="0" applyFont="1" applyFill="1" applyAlignment="1">
      <alignment horizontal="left"/>
    </xf>
    <xf numFmtId="0" fontId="10" fillId="0" borderId="0" xfId="0" applyFont="1" applyFill="1" applyBorder="1" applyAlignment="1">
      <alignment horizontal="right" vertical="top"/>
    </xf>
    <xf numFmtId="0" fontId="3" fillId="0" borderId="0" xfId="0" applyFont="1" applyFill="1" applyBorder="1" applyAlignment="1">
      <alignment horizontal="right"/>
    </xf>
    <xf numFmtId="0" fontId="8" fillId="0" borderId="0" xfId="0" applyFont="1" applyFill="1" applyBorder="1" applyAlignment="1">
      <alignment horizontal="right" wrapText="1"/>
    </xf>
    <xf numFmtId="3" fontId="4" fillId="0" borderId="3" xfId="0" applyNumberFormat="1" applyFont="1" applyFill="1" applyBorder="1" applyAlignment="1">
      <alignment horizontal="right"/>
    </xf>
    <xf numFmtId="0" fontId="2" fillId="0" borderId="0" xfId="0" applyFont="1" applyFill="1" applyAlignment="1">
      <alignment horizontal="right"/>
    </xf>
    <xf numFmtId="3" fontId="10" fillId="0" borderId="0" xfId="0" applyNumberFormat="1" applyFont="1" applyFill="1" applyAlignment="1">
      <alignment horizontal="right" vertical="top"/>
    </xf>
    <xf numFmtId="0" fontId="8" fillId="0" borderId="0" xfId="0" applyFont="1" applyFill="1" applyAlignment="1">
      <alignment horizontal="right" wrapText="1"/>
    </xf>
    <xf numFmtId="0" fontId="0" fillId="0" borderId="0" xfId="0" applyFill="1" applyAlignment="1">
      <alignment horizontal="right"/>
    </xf>
    <xf numFmtId="0" fontId="3" fillId="0" borderId="0" xfId="0" applyFont="1" applyFill="1" applyBorder="1" applyAlignment="1">
      <alignment horizontal="right" wrapText="1"/>
    </xf>
    <xf numFmtId="0" fontId="10" fillId="0" borderId="0" xfId="0" applyFont="1" applyFill="1" applyAlignment="1">
      <alignment horizontal="right" vertical="top"/>
    </xf>
    <xf numFmtId="0" fontId="0" fillId="0" borderId="0" xfId="0" applyFill="1" applyAlignment="1">
      <alignment horizontal="right" wrapText="1"/>
    </xf>
    <xf numFmtId="0" fontId="4" fillId="0" borderId="0" xfId="0" applyFont="1" applyFill="1" applyAlignment="1">
      <alignment horizontal="right"/>
    </xf>
    <xf numFmtId="0" fontId="26" fillId="0" borderId="0" xfId="0" applyFont="1" applyFill="1" applyAlignment="1">
      <alignment horizontal="right" wrapText="1"/>
    </xf>
    <xf numFmtId="169" fontId="14" fillId="0" borderId="0" xfId="0" applyNumberFormat="1" applyFont="1" applyFill="1" applyBorder="1" applyAlignment="1">
      <alignment horizontal="right"/>
    </xf>
    <xf numFmtId="0" fontId="4" fillId="0" borderId="0" xfId="0" applyFont="1" applyFill="1" applyBorder="1" applyAlignment="1">
      <alignment horizontal="right"/>
    </xf>
    <xf numFmtId="0" fontId="2" fillId="0" borderId="0" xfId="0" applyFont="1" applyFill="1" applyBorder="1" applyAlignment="1">
      <alignment horizontal="right"/>
    </xf>
    <xf numFmtId="0" fontId="8" fillId="0" borderId="0" xfId="0" quotePrefix="1" applyFont="1" applyFill="1" applyBorder="1" applyAlignment="1">
      <alignment horizontal="right" wrapText="1"/>
    </xf>
    <xf numFmtId="0" fontId="8" fillId="0" borderId="0" xfId="0" applyFont="1" applyFill="1" applyBorder="1" applyAlignment="1">
      <alignment horizontal="right" vertical="top"/>
    </xf>
    <xf numFmtId="166" fontId="2" fillId="0" borderId="0" xfId="0" applyNumberFormat="1" applyFont="1" applyFill="1" applyBorder="1" applyAlignment="1">
      <alignment horizontal="right"/>
    </xf>
    <xf numFmtId="0" fontId="19" fillId="0" borderId="0" xfId="0" applyFont="1" applyFill="1" applyBorder="1" applyAlignment="1">
      <alignment horizontal="right"/>
    </xf>
    <xf numFmtId="0" fontId="4" fillId="0" borderId="0" xfId="0" applyFont="1" applyFill="1" applyAlignment="1">
      <alignment horizontal="left"/>
    </xf>
    <xf numFmtId="0" fontId="0" fillId="0" borderId="0" xfId="0" applyFill="1" applyAlignment="1">
      <alignment horizontal="left"/>
    </xf>
    <xf numFmtId="0" fontId="8" fillId="0" borderId="0" xfId="0" applyFont="1" applyFill="1" applyAlignment="1">
      <alignment horizontal="left" vertical="top"/>
    </xf>
    <xf numFmtId="0" fontId="10" fillId="0" borderId="0" xfId="0" applyFont="1" applyFill="1" applyAlignment="1">
      <alignment horizontal="left" vertical="top"/>
    </xf>
    <xf numFmtId="0" fontId="4" fillId="0" borderId="0" xfId="0" applyFont="1" applyFill="1" applyAlignment="1">
      <alignment horizontal="left" vertical="top"/>
    </xf>
    <xf numFmtId="0" fontId="5" fillId="0" borderId="0" xfId="0" applyFont="1" applyFill="1" applyAlignment="1">
      <alignment horizontal="left"/>
    </xf>
    <xf numFmtId="0" fontId="12" fillId="0" borderId="0" xfId="0" applyFont="1" applyFill="1" applyAlignment="1">
      <alignment horizontal="left" vertical="top"/>
    </xf>
    <xf numFmtId="0" fontId="10" fillId="0" borderId="0" xfId="0" applyFont="1" applyFill="1" applyAlignment="1">
      <alignment horizontal="left"/>
    </xf>
    <xf numFmtId="0" fontId="17" fillId="0" borderId="0" xfId="0" applyFont="1" applyFill="1" applyAlignment="1">
      <alignment horizontal="left" vertical="top"/>
    </xf>
    <xf numFmtId="0" fontId="10" fillId="0" borderId="0" xfId="0" applyNumberFormat="1" applyFont="1" applyFill="1" applyAlignment="1">
      <alignment horizontal="left" vertical="top"/>
    </xf>
    <xf numFmtId="0" fontId="2" fillId="0" borderId="0" xfId="0" applyNumberFormat="1" applyFont="1" applyFill="1" applyAlignment="1">
      <alignment horizontal="left"/>
    </xf>
    <xf numFmtId="0" fontId="4" fillId="0" borderId="0" xfId="0" applyNumberFormat="1" applyFont="1" applyFill="1" applyAlignment="1">
      <alignment horizontal="left"/>
    </xf>
    <xf numFmtId="0" fontId="0" fillId="0" borderId="0" xfId="0" applyNumberFormat="1" applyFill="1" applyAlignment="1">
      <alignment horizontal="left"/>
    </xf>
    <xf numFmtId="0" fontId="0" fillId="0" borderId="0" xfId="0" applyNumberFormat="1" applyFont="1" applyFill="1" applyAlignment="1">
      <alignment horizontal="left"/>
    </xf>
    <xf numFmtId="0" fontId="0" fillId="0" borderId="0" xfId="0" applyNumberFormat="1" applyAlignment="1">
      <alignment horizontal="left"/>
    </xf>
    <xf numFmtId="0" fontId="8" fillId="0" borderId="0" xfId="0" applyNumberFormat="1" applyFont="1" applyFill="1" applyAlignment="1">
      <alignment horizontal="left" vertical="top"/>
    </xf>
    <xf numFmtId="0" fontId="14" fillId="0" borderId="0" xfId="0" applyNumberFormat="1" applyFont="1" applyFill="1" applyAlignment="1">
      <alignment horizontal="left"/>
    </xf>
    <xf numFmtId="0" fontId="27" fillId="0" borderId="0" xfId="0" applyNumberFormat="1" applyFont="1" applyAlignment="1">
      <alignment horizontal="left"/>
    </xf>
    <xf numFmtId="0" fontId="46" fillId="0" borderId="0" xfId="15" applyFont="1" applyAlignment="1">
      <alignment horizontal="left"/>
    </xf>
    <xf numFmtId="0" fontId="2" fillId="2" borderId="0" xfId="13" quotePrefix="1" applyFont="1" applyFill="1"/>
    <xf numFmtId="0" fontId="65" fillId="0" borderId="0" xfId="0" applyFont="1" applyFill="1"/>
    <xf numFmtId="164" fontId="2" fillId="0" borderId="0" xfId="2" applyNumberFormat="1" applyFont="1" applyFill="1" applyAlignment="1">
      <alignment horizontal="right"/>
    </xf>
    <xf numFmtId="164" fontId="2" fillId="0" borderId="0" xfId="2" applyNumberFormat="1" applyFont="1" applyFill="1" applyBorder="1" applyAlignment="1">
      <alignment horizontal="right"/>
    </xf>
    <xf numFmtId="0" fontId="21" fillId="0" borderId="0" xfId="0" applyFont="1" applyFill="1"/>
    <xf numFmtId="43" fontId="0" fillId="0" borderId="0" xfId="0" applyNumberFormat="1"/>
    <xf numFmtId="164" fontId="21" fillId="0" borderId="5" xfId="3" applyNumberFormat="1" applyFont="1" applyFill="1" applyBorder="1" applyProtection="1"/>
    <xf numFmtId="0" fontId="5" fillId="3" borderId="0" xfId="0" applyFont="1" applyFill="1" applyAlignment="1">
      <alignment horizontal="left" vertical="top" wrapText="1"/>
    </xf>
    <xf numFmtId="41" fontId="0" fillId="0" borderId="0" xfId="0" applyNumberFormat="1" applyFill="1" applyBorder="1" applyAlignment="1">
      <alignment horizontal="right"/>
    </xf>
    <xf numFmtId="0" fontId="4" fillId="0" borderId="0" xfId="16" applyFill="1" applyAlignment="1">
      <alignment vertical="top" wrapText="1"/>
    </xf>
    <xf numFmtId="166" fontId="0" fillId="0" borderId="0" xfId="0" applyNumberFormat="1" applyBorder="1"/>
    <xf numFmtId="43" fontId="0" fillId="0" borderId="0" xfId="0" applyNumberFormat="1" applyBorder="1"/>
    <xf numFmtId="166" fontId="21" fillId="0" borderId="0" xfId="2" applyNumberFormat="1" applyFont="1" applyFill="1" applyAlignment="1">
      <alignment horizontal="right"/>
    </xf>
    <xf numFmtId="166" fontId="21" fillId="0" borderId="2" xfId="2" applyNumberFormat="1" applyFont="1" applyFill="1" applyBorder="1" applyAlignment="1">
      <alignment horizontal="right"/>
    </xf>
    <xf numFmtId="166" fontId="21" fillId="0" borderId="0" xfId="2" applyNumberFormat="1" applyFont="1" applyFill="1" applyBorder="1" applyAlignment="1">
      <alignment horizontal="right"/>
    </xf>
    <xf numFmtId="166" fontId="21" fillId="0" borderId="3" xfId="2" applyNumberFormat="1" applyFont="1" applyFill="1" applyBorder="1" applyAlignment="1">
      <alignment horizontal="right"/>
    </xf>
    <xf numFmtId="166" fontId="21" fillId="0" borderId="0" xfId="0" applyNumberFormat="1" applyFont="1" applyFill="1" applyAlignment="1">
      <alignment horizontal="right"/>
    </xf>
    <xf numFmtId="0" fontId="21" fillId="0" borderId="0" xfId="0" applyFont="1" applyFill="1" applyBorder="1" applyAlignment="1">
      <alignment horizontal="right"/>
    </xf>
    <xf numFmtId="164" fontId="21" fillId="0" borderId="0" xfId="3" applyNumberFormat="1" applyFont="1" applyFill="1" applyBorder="1" applyProtection="1"/>
    <xf numFmtId="169" fontId="0" fillId="0" borderId="0" xfId="0" applyNumberFormat="1"/>
    <xf numFmtId="170" fontId="0" fillId="0" borderId="0" xfId="0" applyNumberFormat="1" applyFill="1"/>
    <xf numFmtId="4" fontId="0" fillId="0" borderId="0" xfId="0" applyNumberFormat="1" applyFill="1" applyAlignment="1">
      <alignment horizontal="right"/>
    </xf>
    <xf numFmtId="0" fontId="4" fillId="0" borderId="0" xfId="13" applyAlignment="1">
      <alignment horizontal="right"/>
    </xf>
    <xf numFmtId="169" fontId="21" fillId="0" borderId="0" xfId="2" applyNumberFormat="1" applyFont="1" applyFill="1" applyBorder="1" applyAlignment="1">
      <alignment horizontal="right"/>
    </xf>
    <xf numFmtId="169" fontId="21" fillId="0" borderId="0" xfId="0" applyNumberFormat="1" applyFont="1" applyFill="1" applyAlignment="1">
      <alignment horizontal="right"/>
    </xf>
    <xf numFmtId="169" fontId="21" fillId="0" borderId="4" xfId="0" applyNumberFormat="1" applyFont="1" applyFill="1" applyBorder="1" applyAlignment="1">
      <alignment horizontal="center"/>
    </xf>
    <xf numFmtId="0" fontId="21" fillId="0" borderId="0" xfId="0" applyFont="1" applyAlignment="1">
      <alignment vertical="top"/>
    </xf>
    <xf numFmtId="0" fontId="21" fillId="0" borderId="0" xfId="0" applyFont="1"/>
    <xf numFmtId="0" fontId="20" fillId="0" borderId="0" xfId="0" applyFont="1" applyAlignment="1">
      <alignment horizontal="center"/>
    </xf>
    <xf numFmtId="0" fontId="20" fillId="0" borderId="0" xfId="0" applyFont="1" applyFill="1" applyBorder="1" applyAlignment="1">
      <alignment horizontal="center"/>
    </xf>
    <xf numFmtId="0" fontId="20" fillId="0" borderId="0" xfId="0" applyFont="1" applyAlignment="1">
      <alignment horizontal="center" wrapText="1"/>
    </xf>
    <xf numFmtId="0" fontId="20" fillId="0" borderId="0" xfId="0" applyFont="1" applyFill="1" applyAlignment="1">
      <alignment horizontal="center" wrapText="1"/>
    </xf>
    <xf numFmtId="0" fontId="20" fillId="0" borderId="0" xfId="0" applyFont="1" applyBorder="1" applyAlignment="1">
      <alignment horizontal="center" wrapText="1"/>
    </xf>
    <xf numFmtId="0" fontId="20" fillId="0" borderId="0" xfId="0" applyFont="1" applyFill="1" applyBorder="1" applyAlignment="1">
      <alignment horizontal="center" wrapText="1"/>
    </xf>
    <xf numFmtId="0" fontId="20" fillId="0" borderId="0" xfId="0" applyFont="1" applyFill="1"/>
    <xf numFmtId="3" fontId="21" fillId="0" borderId="4" xfId="0" applyNumberFormat="1" applyFont="1" applyFill="1" applyBorder="1" applyAlignment="1">
      <alignment horizontal="right" vertical="center"/>
    </xf>
    <xf numFmtId="0" fontId="20" fillId="0" borderId="0" xfId="0" applyFont="1"/>
    <xf numFmtId="0" fontId="21" fillId="0" borderId="0" xfId="0" applyFont="1" applyAlignment="1">
      <alignment horizontal="center"/>
    </xf>
    <xf numFmtId="0" fontId="21" fillId="0" borderId="0" xfId="0" applyFont="1" applyFill="1" applyAlignment="1">
      <alignment horizontal="right"/>
    </xf>
    <xf numFmtId="166" fontId="21" fillId="0" borderId="5" xfId="2" applyNumberFormat="1" applyFont="1" applyFill="1" applyBorder="1" applyAlignment="1">
      <alignment horizontal="right"/>
    </xf>
    <xf numFmtId="0" fontId="2" fillId="0" borderId="0" xfId="13" applyFont="1"/>
    <xf numFmtId="4" fontId="0" fillId="0" borderId="0" xfId="0" applyNumberFormat="1" applyFill="1"/>
    <xf numFmtId="0" fontId="0" fillId="0" borderId="0" xfId="0" applyNumberFormat="1" applyFill="1"/>
    <xf numFmtId="3" fontId="10" fillId="0" borderId="0" xfId="0" applyNumberFormat="1" applyFont="1" applyFill="1" applyBorder="1" applyAlignment="1">
      <alignment horizontal="right" vertical="top"/>
    </xf>
    <xf numFmtId="3" fontId="8" fillId="0" borderId="0" xfId="0" applyNumberFormat="1" applyFont="1" applyFill="1" applyBorder="1" applyAlignment="1">
      <alignment horizontal="right" wrapText="1"/>
    </xf>
    <xf numFmtId="43" fontId="0" fillId="0" borderId="0" xfId="0" applyNumberFormat="1" applyFill="1"/>
    <xf numFmtId="0" fontId="2" fillId="0" borderId="0" xfId="0" applyFont="1" applyBorder="1" applyAlignment="1">
      <alignment vertical="top"/>
    </xf>
    <xf numFmtId="3" fontId="0" fillId="0" borderId="0" xfId="0" applyNumberFormat="1" applyBorder="1"/>
    <xf numFmtId="3" fontId="0" fillId="2" borderId="0" xfId="0" applyNumberFormat="1" applyFill="1" applyBorder="1" applyAlignment="1">
      <alignment horizontal="right" vertical="center"/>
    </xf>
    <xf numFmtId="0" fontId="0" fillId="3" borderId="0" xfId="0" applyFill="1" applyBorder="1"/>
    <xf numFmtId="169" fontId="0" fillId="0" borderId="0" xfId="0" applyNumberFormat="1" applyBorder="1"/>
    <xf numFmtId="166" fontId="0" fillId="0" borderId="0" xfId="0" applyNumberFormat="1"/>
    <xf numFmtId="0" fontId="4" fillId="3" borderId="0" xfId="0" applyFont="1" applyFill="1" applyAlignment="1">
      <alignment vertical="top" wrapText="1"/>
    </xf>
    <xf numFmtId="0" fontId="10" fillId="3" borderId="0" xfId="0" applyFont="1" applyFill="1" applyAlignment="1">
      <alignment vertical="top" wrapText="1"/>
    </xf>
    <xf numFmtId="0" fontId="4" fillId="3" borderId="0" xfId="0" applyFont="1" applyFill="1" applyAlignment="1">
      <alignment horizontal="center" vertical="top" wrapText="1"/>
    </xf>
    <xf numFmtId="167" fontId="2" fillId="0" borderId="0" xfId="0" quotePrefix="1" applyNumberFormat="1" applyFont="1" applyFill="1" applyBorder="1" applyAlignment="1" applyProtection="1">
      <alignment vertical="center"/>
    </xf>
    <xf numFmtId="167" fontId="0" fillId="0" borderId="0" xfId="0" applyNumberFormat="1"/>
    <xf numFmtId="3" fontId="3" fillId="0" borderId="0" xfId="0" applyNumberFormat="1" applyFont="1"/>
    <xf numFmtId="41" fontId="0" fillId="0" borderId="2" xfId="0" applyNumberFormat="1" applyFill="1" applyBorder="1" applyAlignment="1">
      <alignment horizontal="right"/>
    </xf>
    <xf numFmtId="0" fontId="22" fillId="3" borderId="0" xfId="0" applyFont="1" applyFill="1" applyAlignment="1">
      <alignment horizontal="center" vertical="center"/>
    </xf>
    <xf numFmtId="0" fontId="10" fillId="3" borderId="0" xfId="0" applyFont="1" applyFill="1" applyAlignment="1">
      <alignment vertical="center"/>
    </xf>
    <xf numFmtId="0" fontId="10" fillId="3" borderId="0" xfId="0" applyFont="1" applyFill="1" applyAlignment="1">
      <alignment horizontal="center" vertical="center"/>
    </xf>
    <xf numFmtId="0" fontId="22" fillId="3" borderId="0" xfId="0" applyFont="1" applyFill="1" applyAlignment="1">
      <alignment vertical="center"/>
    </xf>
    <xf numFmtId="0" fontId="71" fillId="3" borderId="0" xfId="0" applyFont="1" applyFill="1" applyAlignment="1">
      <alignment vertical="center"/>
    </xf>
    <xf numFmtId="0" fontId="0" fillId="3" borderId="0" xfId="0" applyFill="1" applyAlignment="1">
      <alignment horizontal="center" vertical="center"/>
    </xf>
    <xf numFmtId="0" fontId="67" fillId="3" borderId="0" xfId="0" applyFont="1" applyFill="1"/>
    <xf numFmtId="0" fontId="7" fillId="3" borderId="0" xfId="0" applyFont="1" applyFill="1"/>
    <xf numFmtId="0" fontId="19" fillId="3" borderId="0" xfId="0" applyFont="1" applyFill="1"/>
    <xf numFmtId="0" fontId="61" fillId="3" borderId="0" xfId="0" applyFont="1" applyFill="1"/>
    <xf numFmtId="0" fontId="60" fillId="3" borderId="0" xfId="0" applyFont="1" applyFill="1"/>
    <xf numFmtId="0" fontId="2" fillId="3" borderId="0" xfId="0" applyFont="1" applyFill="1"/>
    <xf numFmtId="0" fontId="0" fillId="3" borderId="2" xfId="0" applyFill="1" applyBorder="1"/>
    <xf numFmtId="0" fontId="2" fillId="3" borderId="2" xfId="0" applyFont="1" applyFill="1" applyBorder="1"/>
    <xf numFmtId="0" fontId="0" fillId="4" borderId="0" xfId="0" applyFill="1"/>
    <xf numFmtId="0" fontId="2" fillId="3" borderId="0" xfId="0" quotePrefix="1" applyFont="1" applyFill="1"/>
    <xf numFmtId="0" fontId="20" fillId="0" borderId="0" xfId="0" quotePrefix="1" applyFont="1" applyBorder="1" applyAlignment="1">
      <alignment horizontal="center" wrapText="1"/>
    </xf>
    <xf numFmtId="0" fontId="22" fillId="0" borderId="0" xfId="0" applyFont="1" applyFill="1" applyAlignment="1">
      <alignment vertical="top"/>
    </xf>
    <xf numFmtId="0" fontId="28" fillId="0" borderId="0" xfId="0" applyFont="1" applyFill="1" applyAlignment="1">
      <alignment horizontal="left"/>
    </xf>
    <xf numFmtId="0" fontId="0" fillId="0" borderId="0" xfId="0" applyBorder="1" applyAlignment="1">
      <alignment horizontal="right"/>
    </xf>
    <xf numFmtId="169" fontId="2" fillId="3" borderId="0" xfId="14" applyNumberFormat="1" applyFill="1" applyAlignment="1">
      <alignment horizontal="right"/>
    </xf>
    <xf numFmtId="0" fontId="24" fillId="3" borderId="0" xfId="0" applyFont="1" applyFill="1"/>
    <xf numFmtId="0" fontId="73" fillId="3" borderId="0" xfId="0" applyFont="1" applyFill="1"/>
    <xf numFmtId="169" fontId="2" fillId="0" borderId="0" xfId="14" applyNumberFormat="1" applyFill="1" applyAlignment="1">
      <alignment horizontal="right"/>
    </xf>
    <xf numFmtId="0" fontId="2" fillId="2" borderId="0" xfId="0" applyFont="1" applyFill="1"/>
    <xf numFmtId="0" fontId="2" fillId="2" borderId="0" xfId="0" applyFont="1" applyFill="1" applyAlignment="1">
      <alignment horizontal="center"/>
    </xf>
    <xf numFmtId="169" fontId="2" fillId="2" borderId="3" xfId="14" applyNumberFormat="1" applyFont="1" applyFill="1" applyBorder="1" applyAlignment="1">
      <alignment horizontal="right"/>
    </xf>
    <xf numFmtId="169" fontId="2" fillId="0" borderId="0" xfId="14" applyNumberFormat="1" applyFill="1" applyBorder="1" applyAlignment="1">
      <alignment horizontal="right"/>
    </xf>
    <xf numFmtId="169" fontId="2" fillId="0" borderId="0" xfId="14" applyNumberFormat="1" applyBorder="1" applyAlignment="1">
      <alignment horizontal="right"/>
    </xf>
    <xf numFmtId="0" fontId="24" fillId="0" borderId="0" xfId="0" applyFont="1"/>
    <xf numFmtId="169" fontId="24" fillId="0" borderId="0" xfId="14" applyNumberFormat="1" applyFont="1" applyFill="1" applyAlignment="1">
      <alignment horizontal="right"/>
    </xf>
    <xf numFmtId="169" fontId="24" fillId="0" borderId="0" xfId="14" applyNumberFormat="1" applyFont="1" applyBorder="1" applyAlignment="1">
      <alignment horizontal="right"/>
    </xf>
    <xf numFmtId="169" fontId="2" fillId="0" borderId="3" xfId="3" applyNumberFormat="1" applyFont="1" applyFill="1" applyBorder="1" applyAlignment="1">
      <alignment horizontal="right"/>
    </xf>
    <xf numFmtId="169" fontId="0" fillId="0" borderId="0" xfId="0" applyNumberFormat="1" applyAlignment="1">
      <alignment horizontal="right"/>
    </xf>
    <xf numFmtId="0" fontId="2" fillId="0" borderId="0" xfId="0" applyFont="1" applyAlignment="1">
      <alignment horizontal="left" vertical="top" wrapText="1"/>
    </xf>
    <xf numFmtId="165" fontId="2" fillId="3" borderId="0" xfId="0" applyNumberFormat="1" applyFont="1" applyFill="1" applyAlignment="1">
      <alignment vertical="center" wrapText="1"/>
    </xf>
    <xf numFmtId="169" fontId="2" fillId="0" borderId="3" xfId="14" applyNumberFormat="1" applyFont="1" applyFill="1" applyBorder="1" applyAlignment="1">
      <alignment horizontal="right"/>
    </xf>
    <xf numFmtId="169" fontId="2" fillId="3" borderId="3" xfId="14" applyNumberFormat="1" applyFont="1" applyFill="1" applyBorder="1" applyAlignment="1">
      <alignment horizontal="right"/>
    </xf>
    <xf numFmtId="169" fontId="2" fillId="3" borderId="0" xfId="0" applyNumberFormat="1" applyFont="1" applyFill="1" applyAlignment="1">
      <alignment vertical="center" wrapText="1"/>
    </xf>
    <xf numFmtId="0" fontId="2" fillId="0" borderId="0" xfId="0" applyFont="1" applyAlignment="1">
      <alignment vertical="top" wrapText="1"/>
    </xf>
    <xf numFmtId="0" fontId="2" fillId="3" borderId="0" xfId="0" applyFont="1" applyFill="1" applyAlignment="1">
      <alignment vertical="top" wrapText="1"/>
    </xf>
    <xf numFmtId="0" fontId="2" fillId="3" borderId="0" xfId="0" applyFont="1" applyFill="1" applyAlignment="1">
      <alignment horizontal="center" vertical="center" wrapText="1"/>
    </xf>
    <xf numFmtId="169" fontId="2" fillId="2" borderId="0" xfId="14" applyNumberFormat="1" applyFont="1" applyFill="1" applyBorder="1" applyAlignment="1">
      <alignment horizontal="right"/>
    </xf>
    <xf numFmtId="169" fontId="2" fillId="2" borderId="0" xfId="14" applyNumberFormat="1" applyFill="1" applyBorder="1" applyAlignment="1">
      <alignment horizontal="right"/>
    </xf>
    <xf numFmtId="169" fontId="0" fillId="0" borderId="7" xfId="0" applyNumberFormat="1" applyBorder="1" applyAlignment="1">
      <alignment horizontal="right"/>
    </xf>
    <xf numFmtId="169" fontId="0" fillId="0" borderId="0" xfId="0" applyNumberFormat="1" applyBorder="1" applyAlignment="1">
      <alignment horizontal="right"/>
    </xf>
    <xf numFmtId="169" fontId="0" fillId="0" borderId="8" xfId="0" applyNumberFormat="1" applyBorder="1" applyAlignment="1">
      <alignment horizontal="right"/>
    </xf>
    <xf numFmtId="0" fontId="19" fillId="3" borderId="0" xfId="0" applyFont="1" applyFill="1" applyAlignment="1">
      <alignment vertical="center"/>
    </xf>
    <xf numFmtId="0" fontId="2" fillId="2" borderId="0" xfId="0" applyFont="1" applyFill="1" applyAlignment="1">
      <alignment horizontal="center" vertical="center" wrapText="1"/>
    </xf>
    <xf numFmtId="169" fontId="2" fillId="2" borderId="4" xfId="3" applyNumberFormat="1" applyFont="1" applyFill="1" applyBorder="1" applyAlignment="1">
      <alignment horizontal="right"/>
    </xf>
    <xf numFmtId="169" fontId="0" fillId="5" borderId="9" xfId="0" applyNumberFormat="1" applyFill="1" applyBorder="1" applyAlignment="1">
      <alignment horizontal="right"/>
    </xf>
    <xf numFmtId="169" fontId="0" fillId="5" borderId="5" xfId="0" applyNumberFormat="1" applyFill="1" applyBorder="1" applyAlignment="1">
      <alignment horizontal="right"/>
    </xf>
    <xf numFmtId="169" fontId="0" fillId="5" borderId="10" xfId="0" applyNumberFormat="1" applyFill="1" applyBorder="1" applyAlignment="1">
      <alignment horizontal="right"/>
    </xf>
    <xf numFmtId="3" fontId="0" fillId="0" borderId="0" xfId="0" applyNumberFormat="1" applyBorder="1" applyAlignment="1">
      <alignment horizontal="right"/>
    </xf>
    <xf numFmtId="169" fontId="0" fillId="0" borderId="11" xfId="0" applyNumberFormat="1" applyBorder="1" applyAlignment="1">
      <alignment horizontal="right"/>
    </xf>
    <xf numFmtId="169" fontId="0" fillId="0" borderId="2" xfId="0" applyNumberFormat="1" applyBorder="1" applyAlignment="1">
      <alignment horizontal="right"/>
    </xf>
    <xf numFmtId="169" fontId="0" fillId="3" borderId="12" xfId="0" applyNumberFormat="1" applyFill="1" applyBorder="1" applyAlignment="1">
      <alignment horizontal="right"/>
    </xf>
    <xf numFmtId="0" fontId="21" fillId="0" borderId="0" xfId="0" applyFont="1" applyAlignment="1">
      <alignment vertical="center"/>
    </xf>
    <xf numFmtId="0" fontId="24" fillId="0" borderId="0" xfId="0" applyFont="1" applyFill="1" applyAlignment="1">
      <alignment horizontal="left" vertical="center"/>
    </xf>
    <xf numFmtId="0" fontId="74" fillId="0" borderId="0" xfId="0" applyFont="1" applyAlignment="1">
      <alignment vertical="center"/>
    </xf>
    <xf numFmtId="0" fontId="2" fillId="0" borderId="0" xfId="0" applyFont="1" applyFill="1" applyAlignment="1">
      <alignment horizontal="center"/>
    </xf>
    <xf numFmtId="0" fontId="22" fillId="0" borderId="0" xfId="0" applyFont="1" applyFill="1"/>
    <xf numFmtId="0" fontId="2" fillId="0" borderId="0" xfId="0" applyFont="1" applyFill="1" applyBorder="1" applyAlignment="1">
      <alignment vertical="center" wrapText="1"/>
    </xf>
    <xf numFmtId="0" fontId="51" fillId="0" borderId="0" xfId="15" applyFont="1" applyAlignment="1"/>
    <xf numFmtId="0" fontId="51" fillId="0" borderId="0" xfId="15" applyFont="1" applyAlignment="1">
      <alignment horizontal="left" wrapText="1"/>
    </xf>
    <xf numFmtId="0" fontId="62" fillId="0" borderId="0" xfId="15" applyFont="1" applyAlignment="1">
      <alignment horizontal="left"/>
    </xf>
    <xf numFmtId="0" fontId="63" fillId="0" borderId="0" xfId="15" applyFont="1" applyAlignment="1">
      <alignment horizontal="left"/>
    </xf>
    <xf numFmtId="166" fontId="0" fillId="0" borderId="5" xfId="0" applyNumberFormat="1" applyFill="1" applyBorder="1" applyAlignment="1">
      <alignment horizontal="right"/>
    </xf>
    <xf numFmtId="3" fontId="0" fillId="0" borderId="5" xfId="0" applyNumberFormat="1" applyFill="1" applyBorder="1" applyAlignment="1">
      <alignment horizontal="right"/>
    </xf>
    <xf numFmtId="3" fontId="3" fillId="0" borderId="0" xfId="0" applyNumberFormat="1" applyFont="1" applyFill="1" applyAlignment="1">
      <alignment horizontal="center"/>
    </xf>
    <xf numFmtId="166" fontId="3" fillId="0" borderId="0" xfId="0" applyNumberFormat="1" applyFont="1" applyFill="1" applyAlignment="1">
      <alignment horizontal="center" wrapText="1"/>
    </xf>
    <xf numFmtId="166" fontId="3" fillId="0" borderId="0" xfId="0" applyNumberFormat="1" applyFont="1" applyFill="1" applyBorder="1" applyAlignment="1">
      <alignment horizontal="center" wrapText="1"/>
    </xf>
    <xf numFmtId="0" fontId="2" fillId="0" borderId="0" xfId="0" applyFont="1" applyFill="1" applyBorder="1"/>
    <xf numFmtId="0" fontId="3" fillId="0" borderId="0" xfId="0" applyFont="1" applyFill="1" applyBorder="1" applyAlignment="1">
      <alignment horizontal="left" vertical="top"/>
    </xf>
    <xf numFmtId="0" fontId="2" fillId="0" borderId="0" xfId="0" applyFont="1" applyFill="1" applyBorder="1" applyAlignment="1">
      <alignment horizontal="left"/>
    </xf>
    <xf numFmtId="0" fontId="0" fillId="0" borderId="0" xfId="0" applyFill="1" applyBorder="1" applyAlignment="1">
      <alignment horizontal="left"/>
    </xf>
    <xf numFmtId="0" fontId="4" fillId="0" borderId="0" xfId="0" applyFont="1" applyFill="1" applyBorder="1" applyAlignment="1">
      <alignment horizontal="left"/>
    </xf>
    <xf numFmtId="0" fontId="4" fillId="0" borderId="0" xfId="0" applyFont="1" applyBorder="1" applyAlignment="1">
      <alignment horizontal="left"/>
    </xf>
    <xf numFmtId="3" fontId="3" fillId="0" borderId="0" xfId="0" applyNumberFormat="1" applyFont="1" applyFill="1" applyBorder="1" applyAlignment="1">
      <alignment horizontal="center" wrapText="1"/>
    </xf>
    <xf numFmtId="166" fontId="3" fillId="0" borderId="0" xfId="0" applyNumberFormat="1" applyFont="1" applyFill="1" applyBorder="1" applyAlignment="1">
      <alignment horizontal="center"/>
    </xf>
    <xf numFmtId="3" fontId="2" fillId="0" borderId="5" xfId="0" applyNumberFormat="1" applyFont="1" applyFill="1" applyBorder="1" applyAlignment="1">
      <alignment horizontal="right"/>
    </xf>
    <xf numFmtId="165" fontId="0" fillId="0" borderId="0" xfId="2" applyNumberFormat="1" applyFont="1" applyFill="1" applyBorder="1" applyAlignment="1">
      <alignment horizontal="left"/>
    </xf>
    <xf numFmtId="41" fontId="0" fillId="0" borderId="0" xfId="0" applyNumberFormat="1" applyFill="1"/>
    <xf numFmtId="41" fontId="0" fillId="0" borderId="0" xfId="0" applyNumberFormat="1" applyFill="1" applyBorder="1"/>
    <xf numFmtId="41" fontId="2" fillId="0" borderId="0" xfId="0" applyNumberFormat="1" applyFont="1" applyFill="1" applyBorder="1" applyAlignment="1">
      <alignment horizontal="right"/>
    </xf>
    <xf numFmtId="0" fontId="77" fillId="0" borderId="0" xfId="0" applyFont="1" applyAlignment="1"/>
    <xf numFmtId="0" fontId="78" fillId="0" borderId="0" xfId="0" applyFont="1" applyAlignment="1"/>
    <xf numFmtId="0" fontId="78" fillId="0" borderId="0" xfId="0" applyFont="1" applyAlignment="1">
      <alignment horizontal="right"/>
    </xf>
    <xf numFmtId="0" fontId="78" fillId="0" borderId="0" xfId="0" applyFont="1" applyBorder="1" applyAlignment="1"/>
    <xf numFmtId="0" fontId="0" fillId="0" borderId="0" xfId="0" quotePrefix="1"/>
    <xf numFmtId="0" fontId="0" fillId="0" borderId="0" xfId="0" applyAlignment="1" applyProtection="1">
      <protection locked="0"/>
    </xf>
    <xf numFmtId="0" fontId="3" fillId="0" borderId="0" xfId="0" quotePrefix="1" applyFont="1"/>
    <xf numFmtId="0" fontId="0" fillId="0" borderId="0" xfId="0" applyAlignment="1" applyProtection="1">
      <alignment horizontal="left" vertical="top" wrapText="1"/>
      <protection locked="0"/>
    </xf>
    <xf numFmtId="0" fontId="0" fillId="0" borderId="0" xfId="0" applyBorder="1" applyAlignment="1" applyProtection="1">
      <protection locked="0"/>
    </xf>
    <xf numFmtId="3" fontId="0" fillId="0" borderId="0" xfId="0" quotePrefix="1" applyNumberFormat="1"/>
    <xf numFmtId="169" fontId="0" fillId="0" borderId="0" xfId="0" applyNumberFormat="1" applyFill="1"/>
    <xf numFmtId="169" fontId="0" fillId="3" borderId="0" xfId="0" applyNumberFormat="1" applyFill="1"/>
    <xf numFmtId="0" fontId="70" fillId="3" borderId="0" xfId="0" applyFont="1" applyFill="1" applyAlignment="1">
      <alignment horizontal="left"/>
    </xf>
    <xf numFmtId="0" fontId="58" fillId="0" borderId="0" xfId="15" applyFont="1" applyAlignment="1">
      <alignment horizontal="left" wrapText="1"/>
    </xf>
    <xf numFmtId="0" fontId="51" fillId="0" borderId="0" xfId="15" applyFont="1" applyAlignment="1">
      <alignment horizontal="left" wrapText="1"/>
    </xf>
    <xf numFmtId="0" fontId="5" fillId="0" borderId="0" xfId="0" applyFont="1" applyAlignment="1">
      <alignment horizontal="left" vertical="center"/>
    </xf>
    <xf numFmtId="0" fontId="84" fillId="0" borderId="0" xfId="0" applyFont="1" applyAlignment="1">
      <alignment vertical="center"/>
    </xf>
    <xf numFmtId="164" fontId="0" fillId="0" borderId="0" xfId="0" applyNumberFormat="1"/>
    <xf numFmtId="0" fontId="2" fillId="0" borderId="0" xfId="0" quotePrefix="1" applyFont="1"/>
    <xf numFmtId="0" fontId="86" fillId="0" borderId="0" xfId="0" applyFont="1"/>
    <xf numFmtId="0" fontId="86" fillId="0" borderId="0" xfId="0" applyFont="1" applyFill="1"/>
    <xf numFmtId="3" fontId="86" fillId="0" borderId="0" xfId="0" applyNumberFormat="1" applyFont="1" applyFill="1" applyBorder="1"/>
    <xf numFmtId="3" fontId="2" fillId="0" borderId="2" xfId="0" applyNumberFormat="1" applyFont="1" applyFill="1" applyBorder="1" applyAlignment="1">
      <alignment horizontal="right"/>
    </xf>
    <xf numFmtId="0" fontId="87" fillId="0" borderId="0" xfId="0" applyFont="1" applyFill="1" applyAlignment="1">
      <alignment vertical="top"/>
    </xf>
    <xf numFmtId="0" fontId="68" fillId="0" borderId="0" xfId="22"/>
    <xf numFmtId="167" fontId="2" fillId="0" borderId="0" xfId="22" quotePrefix="1" applyNumberFormat="1" applyFont="1" applyFill="1" applyBorder="1" applyAlignment="1" applyProtection="1">
      <alignment vertical="center"/>
    </xf>
    <xf numFmtId="0" fontId="68" fillId="0" borderId="0" xfId="22" applyFill="1" applyAlignment="1">
      <alignment horizontal="left"/>
    </xf>
    <xf numFmtId="0" fontId="2" fillId="0" borderId="0" xfId="22" applyFont="1" applyFill="1" applyAlignment="1">
      <alignment horizontal="left"/>
    </xf>
    <xf numFmtId="0" fontId="2" fillId="0" borderId="0" xfId="22" applyFont="1"/>
    <xf numFmtId="0" fontId="3" fillId="0" borderId="0" xfId="22" applyFont="1" applyFill="1" applyAlignment="1">
      <alignment horizontal="left"/>
    </xf>
    <xf numFmtId="0" fontId="68" fillId="0" borderId="0" xfId="22" applyFill="1"/>
    <xf numFmtId="167" fontId="68" fillId="0" borderId="0" xfId="22" applyNumberFormat="1" applyFill="1"/>
    <xf numFmtId="0" fontId="2" fillId="0" borderId="0" xfId="22" applyFont="1" applyFill="1"/>
    <xf numFmtId="164" fontId="2" fillId="0" borderId="2" xfId="2" applyNumberFormat="1" applyFont="1" applyFill="1" applyBorder="1" applyAlignment="1">
      <alignment horizontal="right"/>
    </xf>
    <xf numFmtId="41" fontId="4" fillId="0" borderId="0" xfId="0" applyNumberFormat="1" applyFont="1" applyFill="1" applyBorder="1"/>
    <xf numFmtId="169" fontId="2" fillId="0" borderId="0" xfId="14" applyNumberFormat="1" applyFont="1" applyFill="1" applyBorder="1" applyAlignment="1">
      <alignment horizontal="right"/>
    </xf>
    <xf numFmtId="0" fontId="0" fillId="0" borderId="0" xfId="0" applyAlignment="1">
      <alignment wrapText="1"/>
    </xf>
    <xf numFmtId="0" fontId="68" fillId="6" borderId="0" xfId="22" applyFill="1"/>
    <xf numFmtId="0" fontId="67" fillId="0" borderId="0" xfId="22" applyFont="1" applyFill="1" applyAlignment="1">
      <alignment horizontal="left"/>
    </xf>
    <xf numFmtId="0" fontId="3" fillId="0" borderId="0" xfId="22" applyFont="1"/>
    <xf numFmtId="167" fontId="3" fillId="0" borderId="0" xfId="22" quotePrefix="1" applyNumberFormat="1" applyFont="1" applyFill="1" applyBorder="1" applyAlignment="1" applyProtection="1">
      <alignment vertical="center"/>
    </xf>
    <xf numFmtId="0" fontId="68" fillId="9" borderId="0" xfId="22" applyFill="1"/>
    <xf numFmtId="0" fontId="3" fillId="0" borderId="0" xfId="22" applyFont="1" applyFill="1"/>
    <xf numFmtId="167" fontId="3" fillId="0" borderId="0" xfId="22" applyNumberFormat="1" applyFont="1" applyFill="1"/>
    <xf numFmtId="0" fontId="2" fillId="10" borderId="0" xfId="22" applyFont="1" applyFill="1"/>
    <xf numFmtId="0" fontId="21" fillId="0" borderId="0" xfId="0" applyFont="1" applyFill="1" applyAlignment="1">
      <alignment horizontal="center"/>
    </xf>
    <xf numFmtId="41" fontId="21" fillId="0" borderId="0" xfId="17" applyNumberFormat="1" applyFont="1" applyFill="1"/>
    <xf numFmtId="16" fontId="21" fillId="0" borderId="0" xfId="0" quotePrefix="1" applyNumberFormat="1" applyFont="1" applyFill="1" applyAlignment="1">
      <alignment horizontal="center"/>
    </xf>
    <xf numFmtId="165" fontId="2" fillId="0" borderId="0" xfId="0" applyNumberFormat="1" applyFont="1" applyFill="1" applyBorder="1"/>
    <xf numFmtId="165" fontId="0" fillId="0" borderId="0" xfId="0" applyNumberFormat="1" applyFill="1" applyBorder="1"/>
    <xf numFmtId="0" fontId="6" fillId="0" borderId="0" xfId="0" applyFont="1" applyFill="1"/>
    <xf numFmtId="0" fontId="20" fillId="0" borderId="0" xfId="0" applyFont="1" applyFill="1" applyAlignment="1">
      <alignment horizontal="center"/>
    </xf>
    <xf numFmtId="0" fontId="20" fillId="0" borderId="0" xfId="0" quotePrefix="1" applyFont="1" applyFill="1" applyBorder="1" applyAlignment="1">
      <alignment horizontal="center" wrapText="1"/>
    </xf>
    <xf numFmtId="165" fontId="21" fillId="0" borderId="0" xfId="0" applyNumberFormat="1" applyFont="1" applyFill="1" applyBorder="1" applyAlignment="1">
      <alignment horizontal="right"/>
    </xf>
    <xf numFmtId="164" fontId="0" fillId="0" borderId="0" xfId="0" applyNumberFormat="1" applyFill="1" applyBorder="1"/>
    <xf numFmtId="41" fontId="2" fillId="0" borderId="0" xfId="0" applyNumberFormat="1" applyFont="1" applyFill="1" applyBorder="1"/>
    <xf numFmtId="166" fontId="2" fillId="0" borderId="0" xfId="0" applyNumberFormat="1" applyFont="1" applyFill="1"/>
    <xf numFmtId="41" fontId="21" fillId="0" borderId="2" xfId="17" applyNumberFormat="1" applyFont="1" applyFill="1" applyBorder="1"/>
    <xf numFmtId="41" fontId="21" fillId="0" borderId="0" xfId="2" applyNumberFormat="1" applyFont="1" applyFill="1" applyBorder="1" applyAlignment="1">
      <alignment horizontal="right"/>
    </xf>
    <xf numFmtId="41" fontId="2" fillId="0" borderId="0" xfId="0" applyNumberFormat="1" applyFont="1" applyFill="1"/>
    <xf numFmtId="165" fontId="2" fillId="0" borderId="0" xfId="0" applyNumberFormat="1" applyFont="1" applyFill="1"/>
    <xf numFmtId="168" fontId="0" fillId="0" borderId="0" xfId="0" applyNumberFormat="1" applyFill="1" applyBorder="1"/>
    <xf numFmtId="167" fontId="3" fillId="11" borderId="0" xfId="22" applyNumberFormat="1" applyFont="1" applyFill="1"/>
    <xf numFmtId="167" fontId="68" fillId="11" borderId="0" xfId="22" applyNumberFormat="1" applyFill="1"/>
    <xf numFmtId="167" fontId="2" fillId="11" borderId="0" xfId="22" quotePrefix="1" applyNumberFormat="1" applyFont="1" applyFill="1" applyBorder="1" applyAlignment="1" applyProtection="1">
      <alignment vertical="center"/>
    </xf>
    <xf numFmtId="0" fontId="68" fillId="11" borderId="0" xfId="22" applyFill="1"/>
    <xf numFmtId="0" fontId="7" fillId="0" borderId="0" xfId="22" applyFont="1" applyFill="1" applyAlignment="1">
      <alignment horizontal="left"/>
    </xf>
    <xf numFmtId="1" fontId="3" fillId="11" borderId="0" xfId="22" applyNumberFormat="1" applyFont="1" applyFill="1"/>
    <xf numFmtId="167" fontId="68" fillId="8" borderId="0" xfId="22" applyNumberFormat="1" applyFill="1"/>
    <xf numFmtId="167" fontId="68" fillId="0" borderId="0" xfId="22" applyNumberFormat="1"/>
    <xf numFmtId="0" fontId="0" fillId="0" borderId="0" xfId="0" applyFill="1" applyAlignment="1">
      <alignment vertical="top" wrapText="1"/>
    </xf>
    <xf numFmtId="0" fontId="0" fillId="0" borderId="0" xfId="0" applyFont="1" applyFill="1" applyAlignment="1">
      <alignment horizontal="left"/>
    </xf>
    <xf numFmtId="169" fontId="21" fillId="0" borderId="0" xfId="2" applyNumberFormat="1" applyFont="1" applyFill="1" applyBorder="1" applyAlignment="1">
      <alignment horizontal="center"/>
    </xf>
    <xf numFmtId="169" fontId="21" fillId="0" borderId="0" xfId="0" applyNumberFormat="1" applyFont="1" applyFill="1" applyAlignment="1">
      <alignment horizontal="center"/>
    </xf>
    <xf numFmtId="167" fontId="2" fillId="7" borderId="0" xfId="22" quotePrefix="1" applyNumberFormat="1" applyFont="1" applyFill="1" applyBorder="1" applyAlignment="1" applyProtection="1">
      <alignment vertical="center"/>
    </xf>
    <xf numFmtId="0" fontId="45" fillId="0" borderId="0" xfId="15" applyFont="1" applyFill="1"/>
    <xf numFmtId="0" fontId="46" fillId="0" borderId="0" xfId="15" applyFont="1" applyFill="1"/>
    <xf numFmtId="0" fontId="4" fillId="0" borderId="0" xfId="13" applyFill="1"/>
    <xf numFmtId="164" fontId="0" fillId="0" borderId="0" xfId="0" applyNumberFormat="1" applyFill="1" applyAlignment="1">
      <alignment vertical="top" wrapText="1"/>
    </xf>
    <xf numFmtId="0" fontId="86" fillId="0" borderId="0" xfId="0" applyFont="1" applyFill="1" applyAlignment="1">
      <alignment vertical="top" wrapText="1"/>
    </xf>
    <xf numFmtId="0" fontId="3" fillId="0" borderId="0" xfId="0" applyFont="1" applyFill="1" applyAlignment="1">
      <alignment horizontal="right"/>
    </xf>
    <xf numFmtId="0" fontId="7" fillId="0" borderId="0" xfId="0" applyFont="1" applyFill="1"/>
    <xf numFmtId="0" fontId="24" fillId="0" borderId="0" xfId="0" applyFont="1" applyFill="1" applyBorder="1" applyAlignment="1">
      <alignment horizontal="right"/>
    </xf>
    <xf numFmtId="0" fontId="30" fillId="0" borderId="0" xfId="0" applyFont="1" applyFill="1"/>
    <xf numFmtId="0" fontId="4" fillId="0" borderId="0" xfId="0" applyFont="1" applyFill="1" applyAlignment="1">
      <alignment horizontal="center"/>
    </xf>
    <xf numFmtId="0" fontId="13" fillId="0" borderId="0" xfId="0" applyFont="1" applyFill="1"/>
    <xf numFmtId="0" fontId="22" fillId="0" borderId="0" xfId="0" applyFont="1" applyFill="1" applyAlignment="1">
      <alignment horizontal="center"/>
    </xf>
    <xf numFmtId="0" fontId="22" fillId="0" borderId="0" xfId="0" applyFont="1" applyFill="1" applyAlignment="1">
      <alignment horizontal="right"/>
    </xf>
    <xf numFmtId="0" fontId="25" fillId="0" borderId="0" xfId="0" applyFont="1" applyFill="1" applyAlignment="1">
      <alignment horizontal="right"/>
    </xf>
    <xf numFmtId="0" fontId="6" fillId="0" borderId="0" xfId="0" applyFont="1" applyFill="1" applyAlignment="1">
      <alignment vertical="top"/>
    </xf>
    <xf numFmtId="166" fontId="21"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41" fontId="0" fillId="0" borderId="5" xfId="0" applyNumberFormat="1" applyFill="1" applyBorder="1" applyAlignment="1">
      <alignment horizontal="right"/>
    </xf>
    <xf numFmtId="167" fontId="2" fillId="0" borderId="0" xfId="22" applyNumberFormat="1" applyFont="1" applyFill="1"/>
    <xf numFmtId="0" fontId="2" fillId="3" borderId="0" xfId="0" applyFont="1" applyFill="1" applyAlignment="1">
      <alignment vertical="center" wrapText="1"/>
    </xf>
    <xf numFmtId="0" fontId="3" fillId="2" borderId="0" xfId="0" applyFont="1" applyFill="1" applyAlignment="1">
      <alignment vertical="center" wrapText="1"/>
    </xf>
    <xf numFmtId="0" fontId="0" fillId="2" borderId="0" xfId="0" applyFill="1" applyAlignment="1">
      <alignment vertical="center" wrapText="1"/>
    </xf>
    <xf numFmtId="3" fontId="2" fillId="0" borderId="0" xfId="0" applyNumberFormat="1" applyFont="1"/>
    <xf numFmtId="3" fontId="2" fillId="0" borderId="13" xfId="0" applyNumberFormat="1" applyFont="1" applyFill="1" applyBorder="1"/>
    <xf numFmtId="3" fontId="2" fillId="0" borderId="5" xfId="0" applyNumberFormat="1" applyFont="1" applyFill="1" applyBorder="1"/>
    <xf numFmtId="0" fontId="60" fillId="0" borderId="0" xfId="0" applyFont="1" applyFill="1" applyAlignment="1">
      <alignment vertical="top"/>
    </xf>
    <xf numFmtId="0" fontId="3" fillId="0" borderId="0" xfId="0" applyFont="1" applyFill="1" applyBorder="1" applyAlignment="1">
      <alignment horizontal="center"/>
    </xf>
    <xf numFmtId="165" fontId="2" fillId="0" borderId="0" xfId="2" applyNumberFormat="1" applyFont="1"/>
    <xf numFmtId="169" fontId="2" fillId="0" borderId="0" xfId="14" applyNumberFormat="1" applyFill="1" applyAlignment="1">
      <alignment horizontal="left"/>
    </xf>
    <xf numFmtId="0" fontId="0" fillId="0" borderId="0" xfId="0" applyFill="1" applyAlignment="1">
      <alignment horizontal="left" vertical="top" wrapText="1"/>
    </xf>
    <xf numFmtId="0" fontId="2" fillId="0" borderId="0" xfId="0" applyFont="1" applyFill="1" applyAlignment="1">
      <alignment horizontal="left" wrapText="1"/>
    </xf>
    <xf numFmtId="0" fontId="77" fillId="0" borderId="0" xfId="0" applyFont="1" applyFill="1" applyAlignment="1"/>
    <xf numFmtId="0" fontId="0" fillId="0" borderId="0" xfId="0" applyFill="1" applyAlignment="1">
      <alignment horizontal="left" vertical="center"/>
    </xf>
    <xf numFmtId="3" fontId="21" fillId="0" borderId="0" xfId="0" applyNumberFormat="1" applyFont="1" applyFill="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Alignment="1">
      <alignment horizontal="right"/>
    </xf>
    <xf numFmtId="3" fontId="21" fillId="0" borderId="0" xfId="0" applyNumberFormat="1" applyFont="1" applyFill="1" applyBorder="1" applyAlignment="1">
      <alignment horizontal="right"/>
    </xf>
    <xf numFmtId="3" fontId="21" fillId="0" borderId="5" xfId="0" applyNumberFormat="1" applyFont="1" applyFill="1" applyBorder="1" applyAlignment="1">
      <alignment horizontal="right"/>
    </xf>
    <xf numFmtId="3" fontId="4" fillId="0" borderId="0" xfId="0" applyNumberFormat="1" applyFont="1" applyFill="1" applyAlignment="1">
      <alignment vertical="top" wrapText="1"/>
    </xf>
    <xf numFmtId="3" fontId="21" fillId="0" borderId="6" xfId="0" applyNumberFormat="1" applyFont="1" applyFill="1" applyBorder="1" applyAlignment="1">
      <alignment vertical="top" wrapText="1"/>
    </xf>
    <xf numFmtId="0" fontId="4" fillId="0" borderId="0" xfId="0" applyFont="1" applyFill="1" applyAlignment="1"/>
    <xf numFmtId="166" fontId="2" fillId="0" borderId="0" xfId="0" applyNumberFormat="1" applyFont="1" applyFill="1" applyAlignment="1">
      <alignment horizontal="right"/>
    </xf>
    <xf numFmtId="166" fontId="0" fillId="0" borderId="0" xfId="0" applyNumberFormat="1" applyFill="1" applyAlignment="1">
      <alignment horizontal="right"/>
    </xf>
    <xf numFmtId="0" fontId="3" fillId="0" borderId="0" xfId="0" applyFont="1" applyFill="1" applyAlignment="1">
      <alignment horizontal="left" vertical="top"/>
    </xf>
    <xf numFmtId="41" fontId="14" fillId="0" borderId="5" xfId="0" applyNumberFormat="1" applyFont="1" applyFill="1" applyBorder="1"/>
    <xf numFmtId="164" fontId="14" fillId="0" borderId="5" xfId="0" applyNumberFormat="1" applyFont="1" applyFill="1" applyBorder="1"/>
    <xf numFmtId="0" fontId="28" fillId="0" borderId="0" xfId="0" applyFont="1" applyFill="1" applyBorder="1"/>
    <xf numFmtId="0" fontId="28" fillId="0" borderId="0" xfId="0" applyFont="1" applyFill="1" applyBorder="1" applyAlignment="1">
      <alignment horizontal="right"/>
    </xf>
    <xf numFmtId="0" fontId="28" fillId="0" borderId="0" xfId="0" applyFont="1" applyFill="1" applyBorder="1" applyAlignment="1">
      <alignment horizontal="left"/>
    </xf>
    <xf numFmtId="0" fontId="27" fillId="0" borderId="0" xfId="0" applyFont="1" applyFill="1" applyBorder="1"/>
    <xf numFmtId="169" fontId="4" fillId="0" borderId="5" xfId="0" applyNumberFormat="1" applyFont="1" applyFill="1" applyBorder="1" applyAlignment="1">
      <alignment horizontal="right"/>
    </xf>
    <xf numFmtId="41" fontId="28" fillId="0" borderId="0" xfId="0" applyNumberFormat="1" applyFont="1" applyFill="1" applyBorder="1" applyAlignment="1">
      <alignment horizontal="right"/>
    </xf>
    <xf numFmtId="41" fontId="27" fillId="0" borderId="0" xfId="0" applyNumberFormat="1" applyFont="1" applyFill="1" applyBorder="1"/>
    <xf numFmtId="41" fontId="4" fillId="0" borderId="5" xfId="0" applyNumberFormat="1" applyFont="1" applyFill="1" applyBorder="1" applyAlignment="1">
      <alignment horizontal="right"/>
    </xf>
    <xf numFmtId="169" fontId="0" fillId="0" borderId="5" xfId="0" applyNumberFormat="1" applyFill="1" applyBorder="1" applyAlignment="1">
      <alignment horizontal="right"/>
    </xf>
    <xf numFmtId="0" fontId="12" fillId="0" borderId="0" xfId="0" applyFont="1" applyFill="1" applyAlignment="1">
      <alignment horizontal="left"/>
    </xf>
    <xf numFmtId="0" fontId="2" fillId="0" borderId="0" xfId="0" applyFont="1" applyFill="1" applyBorder="1" applyAlignment="1">
      <alignment horizontal="left" vertical="top" wrapText="1"/>
    </xf>
    <xf numFmtId="0" fontId="3" fillId="0" borderId="0" xfId="0" applyFont="1" applyFill="1" applyBorder="1" applyAlignment="1">
      <alignment vertical="top"/>
    </xf>
    <xf numFmtId="169" fontId="2" fillId="0" borderId="0" xfId="0" applyNumberFormat="1" applyFont="1" applyFill="1" applyBorder="1"/>
    <xf numFmtId="169" fontId="2" fillId="0" borderId="5" xfId="0" applyNumberFormat="1" applyFont="1" applyFill="1" applyBorder="1"/>
    <xf numFmtId="0" fontId="81" fillId="0" borderId="0" xfId="0" applyFont="1" applyFill="1" applyBorder="1" applyAlignment="1">
      <alignment vertical="top" wrapText="1"/>
    </xf>
    <xf numFmtId="0" fontId="81" fillId="0" borderId="0" xfId="0" applyFont="1" applyFill="1" applyBorder="1" applyAlignment="1">
      <alignment vertical="top"/>
    </xf>
    <xf numFmtId="0" fontId="81" fillId="0" borderId="0" xfId="0" applyFont="1" applyFill="1" applyBorder="1"/>
    <xf numFmtId="3" fontId="81" fillId="0" borderId="0" xfId="0" applyNumberFormat="1" applyFont="1" applyFill="1" applyBorder="1"/>
    <xf numFmtId="0" fontId="82" fillId="0" borderId="0" xfId="0" applyFont="1" applyFill="1" applyBorder="1" applyAlignment="1">
      <alignment vertical="top"/>
    </xf>
    <xf numFmtId="3" fontId="82" fillId="0" borderId="0" xfId="0" applyNumberFormat="1" applyFont="1" applyFill="1" applyBorder="1" applyAlignment="1">
      <alignment horizontal="center"/>
    </xf>
    <xf numFmtId="3" fontId="82" fillId="0" borderId="0" xfId="0" applyNumberFormat="1" applyFont="1" applyFill="1" applyBorder="1" applyAlignment="1">
      <alignment horizontal="center" wrapText="1"/>
    </xf>
    <xf numFmtId="0" fontId="82" fillId="0" borderId="0" xfId="0" applyFont="1" applyFill="1" applyBorder="1"/>
    <xf numFmtId="169" fontId="85" fillId="0" borderId="0" xfId="0" applyNumberFormat="1" applyFont="1" applyFill="1" applyBorder="1"/>
    <xf numFmtId="169" fontId="81"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9" fontId="81" fillId="0" borderId="0" xfId="0" applyNumberFormat="1" applyFont="1" applyFill="1" applyBorder="1" applyAlignment="1"/>
    <xf numFmtId="169" fontId="81" fillId="0" borderId="0" xfId="0" applyNumberFormat="1" applyFont="1" applyFill="1" applyBorder="1"/>
    <xf numFmtId="169" fontId="81" fillId="0" borderId="5" xfId="0" applyNumberFormat="1" applyFont="1" applyFill="1" applyBorder="1" applyAlignment="1">
      <alignment horizontal="right"/>
    </xf>
    <xf numFmtId="3" fontId="81" fillId="0" borderId="0" xfId="0" applyNumberFormat="1" applyFont="1" applyFill="1" applyBorder="1" applyAlignment="1">
      <alignment horizontal="right"/>
    </xf>
    <xf numFmtId="0" fontId="26" fillId="0" borderId="0" xfId="0" applyFont="1" applyFill="1" applyAlignment="1">
      <alignment wrapText="1"/>
    </xf>
    <xf numFmtId="0" fontId="0" fillId="0" borderId="0" xfId="0" applyFill="1" applyAlignment="1">
      <alignment wrapText="1"/>
    </xf>
    <xf numFmtId="0" fontId="76" fillId="0" borderId="0" xfId="0" applyFont="1" applyFill="1" applyAlignment="1">
      <alignment horizontal="left" vertical="top"/>
    </xf>
    <xf numFmtId="0" fontId="14" fillId="0" borderId="0" xfId="0" applyFont="1" applyFill="1" applyAlignment="1">
      <alignment horizontal="left"/>
    </xf>
    <xf numFmtId="3" fontId="2" fillId="0" borderId="0" xfId="0" applyNumberFormat="1" applyFont="1" applyFill="1" applyAlignment="1">
      <alignment horizontal="right" wrapText="1"/>
    </xf>
    <xf numFmtId="2" fontId="2" fillId="0" borderId="0" xfId="0" applyNumberFormat="1" applyFont="1" applyFill="1" applyAlignment="1">
      <alignment horizontal="right" wrapText="1"/>
    </xf>
    <xf numFmtId="0" fontId="2" fillId="0" borderId="0" xfId="0" applyFont="1" applyFill="1" applyBorder="1" applyAlignment="1">
      <alignment horizontal="right" wrapText="1"/>
    </xf>
    <xf numFmtId="0" fontId="10" fillId="0" borderId="2" xfId="0" applyFont="1" applyFill="1" applyBorder="1" applyAlignment="1">
      <alignment horizontal="right" vertical="top"/>
    </xf>
    <xf numFmtId="172" fontId="14" fillId="0" borderId="0" xfId="0" applyNumberFormat="1" applyFont="1" applyFill="1" applyBorder="1" applyAlignment="1">
      <alignment horizontal="right"/>
    </xf>
    <xf numFmtId="169" fontId="14" fillId="0" borderId="6" xfId="0" applyNumberFormat="1" applyFont="1" applyFill="1" applyBorder="1" applyAlignment="1">
      <alignment horizontal="right"/>
    </xf>
    <xf numFmtId="0" fontId="17" fillId="0" borderId="0" xfId="0" applyFont="1" applyFill="1" applyAlignment="1">
      <alignment horizontal="left"/>
    </xf>
    <xf numFmtId="0" fontId="18" fillId="0" borderId="0" xfId="0" applyFont="1" applyFill="1"/>
    <xf numFmtId="3" fontId="18" fillId="0" borderId="0" xfId="0" applyNumberFormat="1" applyFont="1" applyFill="1" applyBorder="1"/>
    <xf numFmtId="3" fontId="18" fillId="0" borderId="0" xfId="0" applyNumberFormat="1" applyFont="1" applyFill="1" applyBorder="1" applyAlignment="1">
      <alignment horizontal="right"/>
    </xf>
    <xf numFmtId="0" fontId="18" fillId="0" borderId="0" xfId="0" applyFont="1" applyFill="1" applyAlignment="1">
      <alignment horizontal="left"/>
    </xf>
    <xf numFmtId="0" fontId="8" fillId="0" borderId="0" xfId="0" quotePrefix="1" applyFont="1" applyFill="1" applyAlignment="1">
      <alignment horizontal="right" wrapText="1"/>
    </xf>
    <xf numFmtId="6" fontId="14" fillId="0" borderId="0" xfId="0" applyNumberFormat="1" applyFont="1" applyFill="1" applyAlignment="1">
      <alignment horizontal="left"/>
    </xf>
    <xf numFmtId="0" fontId="14" fillId="0" borderId="0" xfId="0" applyFont="1" applyFill="1" applyBorder="1" applyAlignment="1">
      <alignment horizontal="center"/>
    </xf>
    <xf numFmtId="0" fontId="14" fillId="0" borderId="0" xfId="0" applyFont="1" applyFill="1" applyBorder="1" applyAlignment="1">
      <alignment horizontal="right"/>
    </xf>
    <xf numFmtId="0" fontId="18" fillId="0" borderId="0" xfId="0" applyFont="1" applyFill="1" applyBorder="1"/>
    <xf numFmtId="0" fontId="18" fillId="0" borderId="0" xfId="0" applyFont="1" applyFill="1" applyAlignment="1">
      <alignment horizontal="center"/>
    </xf>
    <xf numFmtId="0" fontId="18" fillId="0" borderId="0" xfId="0" applyFont="1" applyFill="1" applyAlignment="1">
      <alignment horizontal="right"/>
    </xf>
    <xf numFmtId="0" fontId="18" fillId="0" borderId="0" xfId="0" applyFont="1" applyFill="1" applyBorder="1" applyAlignment="1">
      <alignment horizontal="right"/>
    </xf>
    <xf numFmtId="0" fontId="3" fillId="0" borderId="0" xfId="0" quotePrefix="1" applyFont="1" applyFill="1" applyBorder="1" applyAlignment="1">
      <alignment horizontal="right"/>
    </xf>
    <xf numFmtId="169" fontId="2" fillId="0" borderId="5" xfId="0" applyNumberFormat="1" applyFont="1" applyFill="1" applyBorder="1" applyAlignment="1">
      <alignment horizontal="right"/>
    </xf>
    <xf numFmtId="0" fontId="0" fillId="0" borderId="0" xfId="0" applyFill="1" applyAlignment="1">
      <alignment horizontal="right" vertical="top"/>
    </xf>
    <xf numFmtId="0" fontId="15" fillId="0" borderId="0" xfId="0" applyFont="1" applyFill="1" applyBorder="1" applyAlignment="1">
      <alignment horizontal="right" vertical="top"/>
    </xf>
    <xf numFmtId="0" fontId="4"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Fill="1" applyAlignment="1">
      <alignment horizontal="right" vertical="top" wrapText="1"/>
    </xf>
    <xf numFmtId="0" fontId="4" fillId="0" borderId="0" xfId="0" applyFont="1" applyFill="1" applyBorder="1" applyAlignment="1">
      <alignment horizontal="right" vertical="top" wrapText="1"/>
    </xf>
    <xf numFmtId="0" fontId="4" fillId="0" borderId="0" xfId="0" applyFont="1" applyFill="1" applyAlignment="1">
      <alignment horizontal="right" vertical="top"/>
    </xf>
    <xf numFmtId="0" fontId="3" fillId="0" borderId="0" xfId="0" applyFont="1" applyFill="1" applyBorder="1" applyAlignment="1">
      <alignment horizontal="right" vertical="top"/>
    </xf>
    <xf numFmtId="0" fontId="2" fillId="0" borderId="0" xfId="0" applyFont="1" applyFill="1" applyAlignment="1">
      <alignment horizontal="left" vertical="top" wrapText="1"/>
    </xf>
    <xf numFmtId="0" fontId="2" fillId="0" borderId="0" xfId="0" applyFont="1" applyFill="1" applyAlignment="1">
      <alignment horizontal="right" vertical="top" wrapText="1"/>
    </xf>
    <xf numFmtId="0" fontId="2" fillId="0" borderId="0" xfId="0" applyFont="1" applyFill="1" applyBorder="1" applyAlignment="1">
      <alignment horizontal="right" vertical="top" wrapText="1"/>
    </xf>
    <xf numFmtId="0" fontId="0" fillId="0" borderId="0" xfId="0" applyFill="1" applyAlignment="1">
      <alignment horizontal="right" vertical="top" wrapText="1"/>
    </xf>
    <xf numFmtId="0" fontId="0" fillId="0" borderId="0" xfId="0" applyFill="1" applyBorder="1" applyAlignment="1">
      <alignment horizontal="right" vertical="top" wrapText="1"/>
    </xf>
    <xf numFmtId="166" fontId="4" fillId="0" borderId="0" xfId="0" applyNumberFormat="1" applyFont="1" applyFill="1" applyAlignment="1">
      <alignment horizontal="right" wrapText="1"/>
    </xf>
    <xf numFmtId="166" fontId="4" fillId="0" borderId="2" xfId="0" applyNumberFormat="1" applyFont="1" applyFill="1" applyBorder="1" applyAlignment="1">
      <alignment horizontal="right" wrapText="1"/>
    </xf>
    <xf numFmtId="166" fontId="4" fillId="0" borderId="5" xfId="0" applyNumberFormat="1" applyFont="1" applyFill="1" applyBorder="1" applyAlignment="1">
      <alignment horizontal="right" wrapText="1"/>
    </xf>
    <xf numFmtId="3" fontId="0" fillId="0" borderId="0" xfId="0" applyNumberFormat="1" applyFill="1" applyBorder="1" applyAlignment="1">
      <alignment horizontal="center"/>
    </xf>
    <xf numFmtId="4" fontId="0" fillId="0" borderId="0" xfId="0" applyNumberFormat="1"/>
    <xf numFmtId="0" fontId="0" fillId="0" borderId="0" xfId="0" applyAlignment="1">
      <alignment wrapText="1"/>
    </xf>
    <xf numFmtId="0" fontId="2" fillId="0" borderId="0" xfId="0" applyFont="1" applyFill="1" applyAlignment="1">
      <alignment horizontal="left" vertical="top" wrapText="1"/>
    </xf>
    <xf numFmtId="169" fontId="21" fillId="0" borderId="0" xfId="14" applyNumberFormat="1" applyFont="1" applyFill="1" applyAlignment="1">
      <alignment horizontal="right"/>
    </xf>
    <xf numFmtId="0" fontId="2" fillId="0" borderId="0" xfId="0" applyFont="1" applyBorder="1"/>
    <xf numFmtId="0" fontId="48" fillId="0" borderId="0" xfId="15" applyFont="1" applyAlignment="1">
      <alignment horizontal="left"/>
    </xf>
    <xf numFmtId="41" fontId="2" fillId="0" borderId="2" xfId="0" applyNumberFormat="1" applyFont="1" applyFill="1" applyBorder="1" applyAlignment="1">
      <alignment horizontal="right"/>
    </xf>
    <xf numFmtId="17" fontId="2" fillId="3" borderId="0" xfId="0" quotePrefix="1" applyNumberFormat="1" applyFont="1" applyFill="1" applyAlignment="1">
      <alignment horizontal="center" vertical="center"/>
    </xf>
    <xf numFmtId="164" fontId="21" fillId="0" borderId="3" xfId="3" applyNumberFormat="1" applyFont="1" applyFill="1" applyBorder="1" applyProtection="1"/>
    <xf numFmtId="0" fontId="9" fillId="0" borderId="0" xfId="10" applyFill="1" applyBorder="1" applyAlignment="1" applyProtection="1"/>
    <xf numFmtId="0" fontId="0" fillId="0" borderId="0" xfId="0" applyAlignment="1"/>
    <xf numFmtId="0" fontId="36" fillId="0" borderId="0" xfId="13" applyFont="1" applyBorder="1" applyAlignment="1"/>
    <xf numFmtId="0" fontId="2" fillId="0" borderId="0" xfId="13" applyFont="1" applyBorder="1" applyAlignment="1"/>
    <xf numFmtId="0" fontId="21" fillId="0" borderId="0" xfId="13" applyFont="1" applyAlignment="1">
      <alignment horizontal="left" wrapText="1"/>
    </xf>
    <xf numFmtId="0" fontId="51" fillId="0" borderId="0" xfId="15" applyFont="1" applyAlignment="1">
      <alignment wrapText="1"/>
    </xf>
    <xf numFmtId="0" fontId="0" fillId="0" borderId="0" xfId="0" applyAlignment="1">
      <alignment wrapText="1"/>
    </xf>
    <xf numFmtId="0" fontId="46" fillId="0" borderId="0" xfId="15" applyFont="1" applyAlignment="1">
      <alignment horizontal="left"/>
    </xf>
    <xf numFmtId="0" fontId="64" fillId="0" borderId="0" xfId="15" applyFont="1" applyAlignment="1">
      <alignment horizontal="left"/>
    </xf>
    <xf numFmtId="0" fontId="64" fillId="0" borderId="0" xfId="15" applyFont="1" applyAlignment="1"/>
    <xf numFmtId="0" fontId="58" fillId="0" borderId="0" xfId="15" applyFont="1" applyAlignment="1">
      <alignment horizontal="left" wrapText="1"/>
    </xf>
    <xf numFmtId="0" fontId="51" fillId="0" borderId="0" xfId="15" applyFont="1" applyAlignment="1">
      <alignment horizontal="left" wrapText="1"/>
    </xf>
    <xf numFmtId="0" fontId="58" fillId="0" borderId="0" xfId="15" applyFont="1" applyAlignment="1">
      <alignment wrapText="1"/>
    </xf>
    <xf numFmtId="0" fontId="21" fillId="0" borderId="0" xfId="15" applyFont="1" applyFill="1" applyAlignment="1"/>
    <xf numFmtId="0" fontId="55" fillId="0" borderId="0" xfId="15" applyFont="1" applyFill="1" applyAlignment="1"/>
    <xf numFmtId="0" fontId="51" fillId="0" borderId="0" xfId="15" applyFont="1" applyAlignment="1"/>
    <xf numFmtId="0" fontId="42" fillId="0" borderId="0" xfId="15" applyFont="1" applyAlignment="1"/>
    <xf numFmtId="0" fontId="62" fillId="0" borderId="0" xfId="15" applyFont="1" applyAlignment="1">
      <alignment horizontal="left"/>
    </xf>
    <xf numFmtId="0" fontId="63" fillId="0" borderId="0" xfId="15" applyFont="1" applyAlignment="1">
      <alignment horizontal="left"/>
    </xf>
    <xf numFmtId="0" fontId="21" fillId="0" borderId="0" xfId="15" applyFont="1" applyAlignment="1">
      <alignment wrapText="1"/>
    </xf>
    <xf numFmtId="0" fontId="21" fillId="0" borderId="0" xfId="15" applyFont="1" applyAlignment="1">
      <alignment horizontal="left" wrapText="1"/>
    </xf>
    <xf numFmtId="0" fontId="54" fillId="0" borderId="0" xfId="15" applyFont="1" applyFill="1" applyAlignment="1"/>
    <xf numFmtId="0" fontId="21" fillId="0" borderId="0" xfId="0" applyFont="1" applyAlignment="1">
      <alignment horizontal="left" wrapText="1"/>
    </xf>
    <xf numFmtId="0" fontId="75" fillId="0" borderId="0" xfId="0" applyFont="1" applyAlignment="1">
      <alignment horizontal="left" wrapText="1"/>
    </xf>
    <xf numFmtId="0" fontId="0" fillId="0" borderId="0" xfId="0"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Fill="1" applyAlignment="1">
      <alignment horizontal="left" vertical="top" wrapText="1"/>
    </xf>
    <xf numFmtId="0" fontId="14" fillId="0" borderId="0" xfId="0" applyFont="1" applyFill="1" applyAlignment="1">
      <alignment vertical="top" wrapText="1"/>
    </xf>
    <xf numFmtId="0" fontId="2" fillId="0" borderId="0" xfId="0" applyFont="1" applyFill="1" applyBorder="1" applyAlignment="1">
      <alignment horizontal="left" vertical="top" wrapText="1"/>
    </xf>
    <xf numFmtId="0" fontId="81" fillId="0" borderId="0" xfId="0" applyFont="1" applyFill="1" applyBorder="1" applyAlignment="1">
      <alignment horizontal="left" vertical="top" wrapText="1"/>
    </xf>
    <xf numFmtId="3" fontId="82" fillId="0" borderId="0" xfId="0" applyNumberFormat="1" applyFont="1" applyFill="1" applyBorder="1" applyAlignment="1">
      <alignment horizontal="center" wrapText="1"/>
    </xf>
    <xf numFmtId="0" fontId="2" fillId="0" borderId="0" xfId="16" applyFont="1" applyFill="1" applyAlignment="1">
      <alignment horizontal="left" vertical="top" wrapText="1"/>
    </xf>
    <xf numFmtId="0" fontId="2" fillId="0" borderId="0" xfId="0" applyFont="1" applyFill="1" applyAlignment="1">
      <alignment horizontal="left" wrapText="1"/>
    </xf>
    <xf numFmtId="0" fontId="4" fillId="0" borderId="0" xfId="0" applyNumberFormat="1" applyFont="1" applyFill="1" applyAlignment="1">
      <alignment horizontal="left" wrapText="1"/>
    </xf>
    <xf numFmtId="0" fontId="4" fillId="0" borderId="0" xfId="0" applyFont="1" applyFill="1" applyAlignment="1">
      <alignment vertical="top" wrapText="1"/>
    </xf>
    <xf numFmtId="0" fontId="78" fillId="0" borderId="0" xfId="0" applyFont="1" applyBorder="1" applyAlignment="1">
      <alignment horizontal="left"/>
    </xf>
    <xf numFmtId="0" fontId="39" fillId="0" borderId="0" xfId="13" applyFont="1" applyFill="1" applyBorder="1" applyAlignment="1">
      <alignment vertical="center"/>
    </xf>
    <xf numFmtId="0" fontId="36" fillId="0" borderId="0" xfId="13" applyFont="1" applyFill="1" applyBorder="1" applyAlignment="1"/>
    <xf numFmtId="0" fontId="83" fillId="0" borderId="0" xfId="13" applyFont="1" applyFill="1" applyBorder="1" applyAlignment="1"/>
    <xf numFmtId="0" fontId="83" fillId="0" borderId="0" xfId="24" applyFill="1" applyBorder="1" applyAlignment="1">
      <alignment vertical="center"/>
    </xf>
    <xf numFmtId="0" fontId="88" fillId="0" borderId="17" xfId="25" applyFill="1" applyAlignment="1"/>
    <xf numFmtId="0" fontId="89" fillId="0" borderId="0" xfId="26" applyFill="1" applyBorder="1" applyAlignment="1"/>
    <xf numFmtId="0" fontId="2" fillId="0" borderId="0" xfId="13" applyFont="1" applyFill="1" applyBorder="1" applyAlignment="1"/>
    <xf numFmtId="0" fontId="36" fillId="0" borderId="0" xfId="13" applyFont="1" applyFill="1" applyBorder="1" applyAlignment="1">
      <alignment vertical="center"/>
    </xf>
    <xf numFmtId="0" fontId="70" fillId="3" borderId="0" xfId="0" applyFont="1" applyFill="1" applyAlignment="1"/>
    <xf numFmtId="0" fontId="72" fillId="3" borderId="0" xfId="0" applyFont="1" applyFill="1" applyAlignment="1">
      <alignment vertical="center"/>
    </xf>
    <xf numFmtId="0" fontId="6" fillId="3" borderId="0" xfId="0" applyFont="1" applyFill="1" applyAlignment="1">
      <alignment vertical="center"/>
    </xf>
    <xf numFmtId="0" fontId="83" fillId="3" borderId="0" xfId="24" applyFill="1" applyBorder="1" applyAlignment="1">
      <alignment vertical="center"/>
    </xf>
    <xf numFmtId="0" fontId="88" fillId="3" borderId="0" xfId="25" applyFill="1" applyBorder="1" applyAlignment="1">
      <alignment vertical="center"/>
    </xf>
    <xf numFmtId="0" fontId="4" fillId="3" borderId="0" xfId="0" applyFont="1" applyFill="1" applyAlignment="1">
      <alignment vertical="top"/>
    </xf>
    <xf numFmtId="0" fontId="83" fillId="0" borderId="0" xfId="24" applyBorder="1" applyAlignment="1">
      <alignment vertical="top"/>
    </xf>
    <xf numFmtId="0" fontId="88" fillId="0" borderId="0" xfId="25" applyBorder="1"/>
    <xf numFmtId="0" fontId="2" fillId="3" borderId="0" xfId="0" applyFont="1" applyFill="1" applyAlignment="1">
      <alignment vertical="center"/>
    </xf>
    <xf numFmtId="0" fontId="0" fillId="3" borderId="0" xfId="0" applyFill="1" applyAlignment="1">
      <alignment vertical="center"/>
    </xf>
    <xf numFmtId="0" fontId="2" fillId="0" borderId="0" xfId="0" applyFont="1" applyFill="1" applyBorder="1" applyAlignment="1">
      <alignment vertical="center"/>
    </xf>
    <xf numFmtId="0" fontId="2" fillId="5" borderId="14" xfId="0" applyFont="1" applyFill="1" applyBorder="1" applyAlignment="1">
      <alignment vertical="center"/>
    </xf>
    <xf numFmtId="0" fontId="2" fillId="5" borderId="3" xfId="0" applyFont="1" applyFill="1" applyBorder="1" applyAlignment="1">
      <alignment vertical="center"/>
    </xf>
    <xf numFmtId="0" fontId="2" fillId="5" borderId="15" xfId="0" applyFont="1" applyFill="1" applyBorder="1" applyAlignment="1">
      <alignment vertical="center"/>
    </xf>
    <xf numFmtId="0" fontId="2" fillId="5" borderId="7" xfId="0" applyFont="1" applyFill="1" applyBorder="1" applyAlignment="1">
      <alignment vertical="center"/>
    </xf>
    <xf numFmtId="0" fontId="2" fillId="5" borderId="0" xfId="0" applyFont="1" applyFill="1" applyBorder="1" applyAlignment="1">
      <alignment vertical="center"/>
    </xf>
    <xf numFmtId="0" fontId="2" fillId="5" borderId="8" xfId="0" applyFont="1" applyFill="1" applyBorder="1" applyAlignment="1">
      <alignment vertical="center"/>
    </xf>
    <xf numFmtId="0" fontId="2" fillId="0" borderId="0" xfId="0" applyFont="1" applyFill="1" applyAlignment="1">
      <alignment vertical="center"/>
    </xf>
    <xf numFmtId="0" fontId="3" fillId="2" borderId="0" xfId="0" applyFont="1" applyFill="1" applyAlignment="1">
      <alignment vertical="center"/>
    </xf>
    <xf numFmtId="0" fontId="0" fillId="2" borderId="0" xfId="0" applyFill="1" applyAlignment="1">
      <alignment vertical="center"/>
    </xf>
    <xf numFmtId="169" fontId="2" fillId="2" borderId="3" xfId="14" applyNumberFormat="1" applyFont="1" applyFill="1" applyBorder="1" applyAlignment="1">
      <alignment vertical="center"/>
    </xf>
    <xf numFmtId="169" fontId="2" fillId="2" borderId="6" xfId="14" applyNumberFormat="1" applyFont="1" applyFill="1" applyBorder="1" applyAlignment="1">
      <alignment vertical="center"/>
    </xf>
    <xf numFmtId="169" fontId="2" fillId="0" borderId="0" xfId="14" applyNumberFormat="1" applyFont="1" applyFill="1" applyAlignment="1">
      <alignment horizontal="right"/>
    </xf>
    <xf numFmtId="15" fontId="0" fillId="3" borderId="2" xfId="0" applyNumberFormat="1" applyFill="1" applyBorder="1"/>
    <xf numFmtId="15" fontId="0" fillId="3" borderId="0" xfId="0" applyNumberFormat="1" applyFill="1"/>
  </cellXfs>
  <cellStyles count="28">
    <cellStyle name="Audit NZ" xfId="1"/>
    <cellStyle name="Comma" xfId="2" builtinId="3"/>
    <cellStyle name="Comma 2" xfId="3"/>
    <cellStyle name="Comma 2 2" xfId="4"/>
    <cellStyle name="Comma 3" xfId="5"/>
    <cellStyle name="Currency 2" xfId="6"/>
    <cellStyle name="Footnote" xfId="7"/>
    <cellStyle name="FRxAmtStyle" xfId="8"/>
    <cellStyle name="Header" xfId="9"/>
    <cellStyle name="Heading 1" xfId="24" builtinId="16" customBuiltin="1"/>
    <cellStyle name="Heading 2" xfId="25" builtinId="17" customBuiltin="1"/>
    <cellStyle name="Heading 3" xfId="26" builtinId="18" customBuiltin="1"/>
    <cellStyle name="Heading 4" xfId="27" builtinId="19" customBuiltin="1"/>
    <cellStyle name="Hyperlink" xfId="10" builtinId="8"/>
    <cellStyle name="Hyperlink 2" xfId="11"/>
    <cellStyle name="Normal" xfId="0" builtinId="0"/>
    <cellStyle name="Normal 11" xfId="12"/>
    <cellStyle name="Normal 2" xfId="13"/>
    <cellStyle name="Normal 2 2" xfId="22"/>
    <cellStyle name="Normal 3" xfId="14"/>
    <cellStyle name="Normal 4" xfId="15"/>
    <cellStyle name="Normal 5" xfId="23"/>
    <cellStyle name="Normal_Notes" xfId="16"/>
    <cellStyle name="Normal_Rakumanga stmt April 08" xfId="17"/>
    <cellStyle name="Percent 2" xfId="18"/>
    <cellStyle name="Rowheader" xfId="19"/>
    <cellStyle name="Subheader" xfId="20"/>
    <cellStyle name="Totals" xfId="21"/>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nwinrdp02\homes\LIBRARY\MOE\Model%20Financial%20Statements\Kiwi-Park-Model-2016-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the Kiwi Park Model "/>
      <sheetName val="Inputs"/>
      <sheetName val="Title Page"/>
      <sheetName val="Index Page"/>
      <sheetName val="Statement of Responsibility"/>
      <sheetName val="St of Comprehensive Rev. &amp; Exp."/>
      <sheetName val="St of Ch in net Assets &amp; Equity"/>
      <sheetName val="Statement of Financial Position"/>
      <sheetName val="Statement of Cash Flows"/>
      <sheetName val="St of Accounting Policies"/>
      <sheetName val="Notes &amp; Disclosures"/>
      <sheetName val="Guidance - General"/>
      <sheetName val="Guidance - Specific Disclosures"/>
      <sheetName val="Revenue Types"/>
      <sheetName val="Board FTE Calc"/>
      <sheetName val="Actual CF Model CY"/>
      <sheetName val="Budget CF Model CY"/>
      <sheetName val="Trial Balance Converter"/>
      <sheetName val="TB Converter - School TB"/>
      <sheetName val="Kiwi Park Data"/>
      <sheetName val="Sheet1"/>
    </sheetNames>
    <sheetDataSet>
      <sheetData sheetId="0" refreshError="1"/>
      <sheetData sheetId="1">
        <row r="3">
          <cell r="B3">
            <v>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aren.stobbs@blennz.school.n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B13"/>
  <sheetViews>
    <sheetView workbookViewId="0">
      <selection activeCell="N20" sqref="N19:N20"/>
    </sheetView>
  </sheetViews>
  <sheetFormatPr defaultRowHeight="12.75" x14ac:dyDescent="0.2"/>
  <cols>
    <col min="1" max="1" width="13.5703125" style="85" bestFit="1" customWidth="1"/>
    <col min="2" max="2" width="17" style="85" customWidth="1"/>
    <col min="3" max="16384" width="9.140625" style="85"/>
  </cols>
  <sheetData>
    <row r="1" spans="1:2" x14ac:dyDescent="0.2">
      <c r="A1" s="85" t="s">
        <v>1007</v>
      </c>
      <c r="B1" s="194">
        <v>952</v>
      </c>
    </row>
    <row r="2" spans="1:2" x14ac:dyDescent="0.2">
      <c r="A2" s="85" t="s">
        <v>1006</v>
      </c>
      <c r="B2" s="85">
        <v>2018</v>
      </c>
    </row>
    <row r="3" spans="1:2" x14ac:dyDescent="0.2">
      <c r="A3" s="85" t="s">
        <v>1005</v>
      </c>
      <c r="B3" s="216" t="s">
        <v>412</v>
      </c>
    </row>
    <row r="4" spans="1:2" x14ac:dyDescent="0.2">
      <c r="B4" s="87">
        <v>43465</v>
      </c>
    </row>
    <row r="6" spans="1:2" ht="60" customHeight="1" x14ac:dyDescent="0.25">
      <c r="B6" s="86" t="s">
        <v>867</v>
      </c>
    </row>
    <row r="7" spans="1:2" x14ac:dyDescent="0.2">
      <c r="A7" s="85" t="s">
        <v>852</v>
      </c>
      <c r="B7" s="85">
        <v>2017</v>
      </c>
    </row>
    <row r="9" spans="1:2" x14ac:dyDescent="0.2">
      <c r="A9" s="85" t="s">
        <v>853</v>
      </c>
      <c r="B9" s="85">
        <v>2016</v>
      </c>
    </row>
    <row r="13" spans="1:2" x14ac:dyDescent="0.2">
      <c r="A13" s="85" t="s">
        <v>801</v>
      </c>
      <c r="B13" s="234" t="s">
        <v>893</v>
      </c>
    </row>
  </sheetData>
  <phoneticPr fontId="66"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P486"/>
  <sheetViews>
    <sheetView showGridLines="0" view="pageBreakPreview" topLeftCell="A151" zoomScaleNormal="100" zoomScaleSheetLayoutView="100" workbookViewId="0">
      <selection activeCell="E172" sqref="E172"/>
    </sheetView>
  </sheetViews>
  <sheetFormatPr defaultColWidth="8.85546875" defaultRowHeight="15.75" customHeight="1" x14ac:dyDescent="0.2"/>
  <cols>
    <col min="1" max="1" width="9.5703125" style="187" customWidth="1"/>
    <col min="2" max="2" width="22.140625" style="176" customWidth="1"/>
    <col min="3" max="3" width="14.7109375" style="8" customWidth="1"/>
    <col min="4" max="4" width="13.140625" style="8" customWidth="1"/>
    <col min="5" max="5" width="11.28515625" style="8" bestFit="1" customWidth="1"/>
    <col min="6" max="6" width="12.7109375" style="162" customWidth="1"/>
    <col min="7" max="7" width="15.140625" style="29" customWidth="1"/>
    <col min="8" max="8" width="12.7109375" style="162" customWidth="1"/>
    <col min="9" max="9" width="12.7109375" style="8" customWidth="1"/>
    <col min="10" max="11" width="10.28515625" style="8" bestFit="1" customWidth="1"/>
    <col min="12" max="12" width="9.28515625" style="8" bestFit="1" customWidth="1"/>
    <col min="13" max="14" width="8.85546875" style="8"/>
    <col min="15" max="15" width="31.85546875" style="8" customWidth="1"/>
    <col min="16" max="16384" width="8.85546875" style="8"/>
  </cols>
  <sheetData>
    <row r="2" spans="1:16" s="16" customFormat="1" ht="15.75" customHeight="1" x14ac:dyDescent="0.2">
      <c r="A2" s="184">
        <v>2</v>
      </c>
      <c r="B2" s="178" t="s">
        <v>319</v>
      </c>
      <c r="E2" s="31"/>
      <c r="F2" s="155"/>
      <c r="G2" s="164"/>
      <c r="H2" s="51"/>
    </row>
    <row r="3" spans="1:16" s="26" customFormat="1" ht="15.75" customHeight="1" x14ac:dyDescent="0.2">
      <c r="A3" s="185"/>
      <c r="B3" s="82"/>
      <c r="F3" s="156">
        <f>'Comprehensive Income'!$C$5</f>
        <v>2018</v>
      </c>
      <c r="G3" s="156">
        <f>'Comprehensive Income'!$D$5</f>
        <v>2018</v>
      </c>
      <c r="H3" s="156">
        <f>'Comprehensive Income'!$E$5</f>
        <v>2017</v>
      </c>
    </row>
    <row r="4" spans="1:16" s="26" customFormat="1" ht="15.75" customHeight="1" x14ac:dyDescent="0.2">
      <c r="A4" s="185"/>
      <c r="B4" s="82"/>
      <c r="F4" s="157" t="s">
        <v>800</v>
      </c>
      <c r="G4" s="157" t="s">
        <v>801</v>
      </c>
      <c r="H4" s="157" t="s">
        <v>800</v>
      </c>
    </row>
    <row r="5" spans="1:16" s="26" customFormat="1" ht="15.75" customHeight="1" x14ac:dyDescent="0.2">
      <c r="A5" s="185"/>
      <c r="B5" s="82"/>
      <c r="F5" s="157"/>
      <c r="G5" s="171" t="s">
        <v>366</v>
      </c>
      <c r="H5" s="157"/>
    </row>
    <row r="6" spans="1:16" s="26" customFormat="1" ht="15.75" customHeight="1" x14ac:dyDescent="0.2">
      <c r="A6" s="185"/>
      <c r="B6" s="82"/>
      <c r="F6" s="157" t="s">
        <v>799</v>
      </c>
      <c r="G6" s="157" t="s">
        <v>799</v>
      </c>
      <c r="H6" s="157" t="s">
        <v>799</v>
      </c>
    </row>
    <row r="7" spans="1:16" s="26" customFormat="1" ht="15.75" customHeight="1" x14ac:dyDescent="0.2">
      <c r="A7" s="186"/>
      <c r="B7" s="154" t="s">
        <v>827</v>
      </c>
      <c r="F7" s="196">
        <f>+'Codes allocation'!D6</f>
        <v>1340913</v>
      </c>
      <c r="G7" s="197">
        <f>+'Codes allocation'!F6</f>
        <v>828076</v>
      </c>
      <c r="H7" s="429">
        <f>+'Codes allocation'!H6</f>
        <v>1039884</v>
      </c>
      <c r="I7" s="195"/>
      <c r="J7" s="195" t="s">
        <v>893</v>
      </c>
    </row>
    <row r="8" spans="1:16" s="26" customFormat="1" ht="15.75" customHeight="1" x14ac:dyDescent="0.2">
      <c r="A8" s="186"/>
      <c r="B8" s="154" t="s">
        <v>869</v>
      </c>
      <c r="D8" s="48"/>
      <c r="F8" s="196">
        <f>+'Codes allocation'!D8</f>
        <v>1790751</v>
      </c>
      <c r="G8" s="197">
        <f>+'Codes allocation'!F8</f>
        <v>1790750</v>
      </c>
      <c r="H8" s="429">
        <f>+'Codes allocation'!H8</f>
        <v>1767770</v>
      </c>
      <c r="I8" s="195"/>
      <c r="J8" s="195" t="s">
        <v>746</v>
      </c>
    </row>
    <row r="9" spans="1:16" s="26" customFormat="1" ht="15.75" customHeight="1" x14ac:dyDescent="0.2">
      <c r="A9" s="186"/>
      <c r="B9" s="176" t="s">
        <v>870</v>
      </c>
      <c r="F9" s="196">
        <f>+'Codes allocation'!D11</f>
        <v>901526</v>
      </c>
      <c r="G9" s="197">
        <f>+'Codes allocation'!F11</f>
        <v>793510</v>
      </c>
      <c r="H9" s="429">
        <f>+'Codes allocation'!H11</f>
        <v>783327</v>
      </c>
      <c r="I9" s="195"/>
      <c r="J9" s="195" t="s">
        <v>747</v>
      </c>
      <c r="K9" s="408"/>
      <c r="L9" s="408"/>
      <c r="M9" s="408"/>
      <c r="N9" s="408"/>
      <c r="O9" s="408"/>
      <c r="P9" s="408"/>
    </row>
    <row r="10" spans="1:16" s="26" customFormat="1" ht="15.75" customHeight="1" x14ac:dyDescent="0.2">
      <c r="A10" s="186"/>
      <c r="B10" s="176" t="s">
        <v>871</v>
      </c>
      <c r="F10" s="196">
        <f>+'Codes allocation'!D13</f>
        <v>652981</v>
      </c>
      <c r="G10" s="197">
        <f>+'Codes allocation'!F13</f>
        <v>652980</v>
      </c>
      <c r="H10" s="429">
        <f>+'Codes allocation'!H13</f>
        <v>644602</v>
      </c>
      <c r="I10" s="195"/>
      <c r="J10" s="195" t="s">
        <v>748</v>
      </c>
      <c r="K10" s="408"/>
      <c r="L10" s="408"/>
      <c r="M10" s="408"/>
      <c r="N10" s="408"/>
      <c r="O10" s="408"/>
      <c r="P10" s="408"/>
    </row>
    <row r="11" spans="1:16" s="26" customFormat="1" ht="15.75" customHeight="1" x14ac:dyDescent="0.2">
      <c r="A11" s="186"/>
      <c r="B11" s="176" t="s">
        <v>872</v>
      </c>
      <c r="F11" s="196">
        <f>+'Codes allocation'!D15</f>
        <v>9507797</v>
      </c>
      <c r="G11" s="197">
        <f>+'Codes allocation'!F15</f>
        <v>8850000</v>
      </c>
      <c r="H11" s="429">
        <f>+'Codes allocation'!H15</f>
        <v>8755014</v>
      </c>
      <c r="I11" s="195"/>
      <c r="J11" s="195" t="s">
        <v>961</v>
      </c>
      <c r="K11" s="408"/>
      <c r="L11" s="408"/>
      <c r="M11" s="408"/>
      <c r="N11" s="408"/>
      <c r="O11" s="408"/>
      <c r="P11" s="408"/>
    </row>
    <row r="12" spans="1:16" s="26" customFormat="1" ht="15.75" customHeight="1" x14ac:dyDescent="0.2">
      <c r="A12" s="186"/>
      <c r="B12" s="176" t="s">
        <v>873</v>
      </c>
      <c r="F12" s="196">
        <f>+'Codes allocation'!D21</f>
        <v>1187563</v>
      </c>
      <c r="G12" s="197">
        <f>+'Codes allocation'!F21</f>
        <v>1169508</v>
      </c>
      <c r="H12" s="429">
        <f>+'Codes allocation'!H21</f>
        <v>1055161</v>
      </c>
      <c r="I12" s="195"/>
      <c r="J12" s="195" t="s">
        <v>962</v>
      </c>
      <c r="K12" s="408"/>
      <c r="L12" s="416"/>
      <c r="M12" s="408"/>
      <c r="N12" s="408"/>
      <c r="O12" s="408"/>
      <c r="P12" s="408"/>
    </row>
    <row r="13" spans="1:16" s="26" customFormat="1" ht="15.75" customHeight="1" x14ac:dyDescent="0.2">
      <c r="A13" s="186"/>
      <c r="B13" s="176" t="s">
        <v>874</v>
      </c>
      <c r="F13" s="196">
        <f>+'Codes allocation'!D23</f>
        <v>15482</v>
      </c>
      <c r="G13" s="197">
        <f>+'Codes allocation'!F23</f>
        <v>15481</v>
      </c>
      <c r="H13" s="429">
        <f>+'Codes allocation'!H23</f>
        <v>15283</v>
      </c>
      <c r="I13" s="195"/>
      <c r="J13" s="195" t="s">
        <v>963</v>
      </c>
      <c r="K13" s="408"/>
      <c r="L13" s="408"/>
      <c r="M13" s="408"/>
      <c r="N13" s="408"/>
      <c r="O13" s="408"/>
      <c r="P13" s="408"/>
    </row>
    <row r="14" spans="1:16" s="26" customFormat="1" ht="15.75" customHeight="1" x14ac:dyDescent="0.2">
      <c r="A14" s="186"/>
      <c r="B14" s="176" t="s">
        <v>875</v>
      </c>
      <c r="F14" s="196">
        <f>+'Codes allocation'!D25</f>
        <v>808028</v>
      </c>
      <c r="G14" s="197">
        <f>+'Codes allocation'!F25</f>
        <v>808024</v>
      </c>
      <c r="H14" s="429">
        <f>+'Codes allocation'!H25</f>
        <v>797656</v>
      </c>
      <c r="I14" s="195"/>
      <c r="J14" s="195" t="s">
        <v>964</v>
      </c>
      <c r="K14" s="408"/>
      <c r="L14" s="408"/>
      <c r="M14" s="408"/>
      <c r="N14" s="408"/>
      <c r="O14" s="408"/>
      <c r="P14" s="408"/>
    </row>
    <row r="15" spans="1:16" s="26" customFormat="1" ht="15.75" customHeight="1" x14ac:dyDescent="0.2">
      <c r="A15" s="186"/>
      <c r="B15" s="154" t="s">
        <v>895</v>
      </c>
      <c r="F15" s="196">
        <f>+'Codes allocation'!D29</f>
        <v>1155548</v>
      </c>
      <c r="G15" s="197">
        <f>+'Codes allocation'!F29</f>
        <v>1080273</v>
      </c>
      <c r="H15" s="429">
        <f>+'Codes allocation'!H29</f>
        <v>1080272</v>
      </c>
      <c r="I15" s="195"/>
      <c r="J15" s="195" t="s">
        <v>966</v>
      </c>
      <c r="K15" s="408"/>
      <c r="L15" s="408"/>
      <c r="M15" s="408"/>
      <c r="N15" s="408"/>
      <c r="O15" s="408"/>
      <c r="P15" s="408"/>
    </row>
    <row r="16" spans="1:16" s="26" customFormat="1" ht="15.75" customHeight="1" x14ac:dyDescent="0.2">
      <c r="A16" s="186"/>
      <c r="B16" s="176" t="s">
        <v>876</v>
      </c>
      <c r="F16" s="196">
        <f>+'Codes allocation'!D31</f>
        <v>2386322</v>
      </c>
      <c r="G16" s="197">
        <f>+'Codes allocation'!F31</f>
        <v>1696984</v>
      </c>
      <c r="H16" s="197">
        <f>+'Codes allocation'!H31</f>
        <v>2386322</v>
      </c>
      <c r="I16" s="195"/>
      <c r="J16" s="195" t="s">
        <v>968</v>
      </c>
      <c r="K16" s="408"/>
      <c r="L16" s="416"/>
      <c r="M16" s="408"/>
      <c r="N16" s="408"/>
      <c r="O16" s="408"/>
      <c r="P16" s="408"/>
    </row>
    <row r="17" spans="1:16" s="26" customFormat="1" ht="15.75" customHeight="1" x14ac:dyDescent="0.2">
      <c r="A17" s="186"/>
      <c r="B17" s="154" t="s">
        <v>828</v>
      </c>
      <c r="F17" s="371">
        <f>+'Codes allocation'!D40</f>
        <v>524835</v>
      </c>
      <c r="G17" s="371">
        <f>+'Codes allocation'!F40</f>
        <v>467144</v>
      </c>
      <c r="H17" s="429">
        <f>+'Codes allocation'!H40</f>
        <v>380624</v>
      </c>
      <c r="I17" s="195"/>
      <c r="J17" s="195" t="s">
        <v>969</v>
      </c>
      <c r="K17" s="564"/>
      <c r="L17" s="564"/>
      <c r="M17" s="564"/>
      <c r="N17" s="416"/>
      <c r="O17" s="417"/>
      <c r="P17" s="417"/>
    </row>
    <row r="18" spans="1:16" s="26" customFormat="1" ht="15.75" customHeight="1" x14ac:dyDescent="0.2">
      <c r="A18" s="186"/>
      <c r="B18" s="154"/>
      <c r="F18" s="196">
        <f>SUM(F7:F17)</f>
        <v>20271746</v>
      </c>
      <c r="G18" s="197">
        <f>SUM(G7:G17)</f>
        <v>18152730</v>
      </c>
      <c r="H18" s="430">
        <f>SUM(H7:H17)</f>
        <v>18705915</v>
      </c>
      <c r="I18" s="48"/>
      <c r="J18" s="48"/>
    </row>
    <row r="19" spans="1:16" s="26" customFormat="1" ht="15.75" customHeight="1" x14ac:dyDescent="0.2">
      <c r="A19" s="185"/>
      <c r="B19" s="154"/>
      <c r="F19" s="42"/>
      <c r="G19" s="42"/>
      <c r="H19" s="42"/>
    </row>
    <row r="20" spans="1:16" s="16" customFormat="1" ht="15.75" customHeight="1" x14ac:dyDescent="0.2">
      <c r="A20" s="184">
        <f>A2+1</f>
        <v>3</v>
      </c>
      <c r="B20" s="178" t="s">
        <v>854</v>
      </c>
      <c r="E20" s="31"/>
      <c r="F20" s="155"/>
      <c r="G20" s="155"/>
      <c r="H20" s="155"/>
    </row>
    <row r="21" spans="1:16" s="26" customFormat="1" ht="15.75" customHeight="1" x14ac:dyDescent="0.2">
      <c r="A21" s="185"/>
      <c r="B21" s="179" t="s">
        <v>822</v>
      </c>
      <c r="F21" s="156">
        <f>'Comprehensive Income'!$C$5</f>
        <v>2018</v>
      </c>
      <c r="G21" s="156">
        <f>'Comprehensive Income'!$D$5</f>
        <v>2018</v>
      </c>
      <c r="H21" s="156">
        <f>'Comprehensive Income'!$E$5</f>
        <v>2017</v>
      </c>
    </row>
    <row r="22" spans="1:16" s="26" customFormat="1" ht="15.75" customHeight="1" x14ac:dyDescent="0.2">
      <c r="A22" s="185"/>
      <c r="B22" s="154"/>
      <c r="F22" s="157" t="s">
        <v>800</v>
      </c>
      <c r="G22" s="157" t="s">
        <v>801</v>
      </c>
      <c r="H22" s="157" t="s">
        <v>800</v>
      </c>
    </row>
    <row r="23" spans="1:16" s="26" customFormat="1" ht="15.75" customHeight="1" x14ac:dyDescent="0.2">
      <c r="A23" s="185"/>
      <c r="B23" s="154"/>
      <c r="F23" s="157"/>
      <c r="G23" s="171" t="s">
        <v>366</v>
      </c>
      <c r="H23" s="157"/>
    </row>
    <row r="24" spans="1:16" s="26" customFormat="1" ht="15.75" customHeight="1" x14ac:dyDescent="0.2">
      <c r="A24" s="185"/>
      <c r="B24" s="180" t="s">
        <v>301</v>
      </c>
      <c r="C24" s="8"/>
      <c r="D24" s="9"/>
      <c r="F24" s="157" t="s">
        <v>799</v>
      </c>
      <c r="G24" s="157" t="s">
        <v>799</v>
      </c>
      <c r="H24" s="157" t="s">
        <v>799</v>
      </c>
      <c r="O24" s="26" t="s">
        <v>1014</v>
      </c>
    </row>
    <row r="25" spans="1:16" s="26" customFormat="1" ht="15.75" customHeight="1" x14ac:dyDescent="0.2">
      <c r="A25" s="186"/>
      <c r="B25" s="176" t="s">
        <v>987</v>
      </c>
      <c r="C25" s="8"/>
      <c r="D25" s="12"/>
      <c r="F25" s="28">
        <f>+'Codes allocation'!D46</f>
        <v>1080</v>
      </c>
      <c r="G25" s="28">
        <f>+'Codes allocation'!F46</f>
        <v>350</v>
      </c>
      <c r="H25" s="28">
        <f>+'Codes allocation'!H46</f>
        <v>31500</v>
      </c>
      <c r="I25" s="48"/>
    </row>
    <row r="26" spans="1:16" s="26" customFormat="1" ht="15.75" hidden="1" customHeight="1" x14ac:dyDescent="0.2">
      <c r="A26" s="186"/>
      <c r="B26" s="176" t="s">
        <v>392</v>
      </c>
      <c r="C26" s="8"/>
      <c r="D26" s="12"/>
      <c r="F26" s="42" t="s">
        <v>818</v>
      </c>
      <c r="G26" s="42" t="s">
        <v>818</v>
      </c>
      <c r="H26" s="42" t="s">
        <v>818</v>
      </c>
      <c r="I26" s="48"/>
    </row>
    <row r="27" spans="1:16" s="26" customFormat="1" ht="15.75" customHeight="1" x14ac:dyDescent="0.2">
      <c r="A27" s="186"/>
      <c r="B27" s="176" t="s">
        <v>988</v>
      </c>
      <c r="C27" s="8"/>
      <c r="D27" s="12"/>
      <c r="F27" s="28">
        <f>+'Codes allocation'!D52</f>
        <v>51883</v>
      </c>
      <c r="G27" s="28">
        <f>+'Codes allocation'!F52</f>
        <v>39750</v>
      </c>
      <c r="H27" s="28">
        <f>+'Codes allocation'!H52</f>
        <v>51062</v>
      </c>
    </row>
    <row r="28" spans="1:16" s="26" customFormat="1" ht="15.75" customHeight="1" x14ac:dyDescent="0.2">
      <c r="A28" s="186"/>
      <c r="B28" s="176" t="s">
        <v>985</v>
      </c>
      <c r="C28" s="8"/>
      <c r="D28" s="12"/>
      <c r="F28" s="28">
        <f>+'Codes allocation'!D68</f>
        <v>20808</v>
      </c>
      <c r="G28" s="28">
        <f>+'Codes allocation'!F68</f>
        <v>37730</v>
      </c>
      <c r="H28" s="28">
        <f>+'Codes allocation'!H68</f>
        <v>33347</v>
      </c>
    </row>
    <row r="29" spans="1:16" s="26" customFormat="1" ht="15.75" customHeight="1" x14ac:dyDescent="0.2">
      <c r="A29" s="186"/>
      <c r="B29" s="176" t="s">
        <v>986</v>
      </c>
      <c r="C29" s="8"/>
      <c r="D29" s="12"/>
      <c r="F29" s="28">
        <f>+'Codes allocation'!D94</f>
        <v>157129</v>
      </c>
      <c r="G29" s="28">
        <f>+'Codes allocation'!F94</f>
        <v>174283</v>
      </c>
      <c r="H29" s="46">
        <f>+'Codes allocation'!H94</f>
        <v>176411</v>
      </c>
    </row>
    <row r="30" spans="1:16" s="26" customFormat="1" ht="15.75" customHeight="1" x14ac:dyDescent="0.2">
      <c r="A30" s="185"/>
      <c r="B30" s="180"/>
      <c r="C30" s="11"/>
      <c r="D30" s="64"/>
      <c r="E30" s="11"/>
      <c r="F30" s="158">
        <f>SUM(F25:F29)</f>
        <v>230900</v>
      </c>
      <c r="G30" s="158">
        <f>SUM(G25:G29)</f>
        <v>252113</v>
      </c>
      <c r="H30" s="28">
        <f>SUM(H25:H29)</f>
        <v>292320</v>
      </c>
      <c r="I30" s="11"/>
      <c r="J30" s="33"/>
      <c r="K30" s="11"/>
      <c r="L30" s="11"/>
    </row>
    <row r="31" spans="1:16" ht="15.75" customHeight="1" x14ac:dyDescent="0.2">
      <c r="B31" s="180" t="s">
        <v>302</v>
      </c>
      <c r="C31" s="11"/>
      <c r="D31" s="11"/>
      <c r="E31" s="11"/>
      <c r="F31" s="144"/>
      <c r="G31" s="144"/>
      <c r="H31" s="144"/>
      <c r="I31" s="64"/>
      <c r="J31" s="66"/>
      <c r="K31" s="66"/>
      <c r="L31" s="66"/>
      <c r="M31" s="18"/>
    </row>
    <row r="32" spans="1:16" ht="15.75" customHeight="1" x14ac:dyDescent="0.2">
      <c r="A32" s="188"/>
      <c r="B32" s="175" t="s">
        <v>995</v>
      </c>
      <c r="C32" s="11"/>
      <c r="D32" s="11"/>
      <c r="E32" s="11"/>
      <c r="F32" s="28">
        <f>+'Codes allocation'!D55</f>
        <v>-1717.88</v>
      </c>
      <c r="G32" s="28">
        <f>+'Codes allocation'!F55</f>
        <v>0</v>
      </c>
      <c r="H32" s="28">
        <f>+'Codes allocation'!H55</f>
        <v>7191.02</v>
      </c>
      <c r="I32" s="64"/>
      <c r="J32" s="66"/>
      <c r="K32" s="66"/>
      <c r="L32" s="66"/>
      <c r="M32" s="18"/>
    </row>
    <row r="33" spans="1:13" ht="16.5" hidden="1" customHeight="1" x14ac:dyDescent="0.2">
      <c r="A33" s="188"/>
      <c r="B33" s="175"/>
      <c r="C33" s="11"/>
      <c r="D33" s="11"/>
      <c r="E33" s="11"/>
      <c r="F33" s="28"/>
      <c r="G33" s="28"/>
      <c r="H33" s="28"/>
      <c r="I33" s="64"/>
      <c r="J33" s="66"/>
      <c r="K33" s="66"/>
      <c r="L33" s="66"/>
      <c r="M33" s="18"/>
    </row>
    <row r="34" spans="1:13" ht="15.75" hidden="1" customHeight="1" x14ac:dyDescent="0.2">
      <c r="A34" s="188"/>
      <c r="B34" s="175" t="s">
        <v>985</v>
      </c>
      <c r="C34" s="11"/>
      <c r="D34" s="11"/>
      <c r="E34" s="11"/>
      <c r="F34" s="28">
        <f>+'Codes allocation'!D70</f>
        <v>0</v>
      </c>
      <c r="G34" s="28">
        <f>+'Codes allocation'!F70</f>
        <v>0</v>
      </c>
      <c r="H34" s="28">
        <f>+'Codes allocation'!H70</f>
        <v>0</v>
      </c>
      <c r="I34" s="64"/>
      <c r="J34" s="66"/>
      <c r="K34" s="66"/>
      <c r="L34" s="66"/>
      <c r="M34" s="18"/>
    </row>
    <row r="35" spans="1:13" ht="15.75" customHeight="1" x14ac:dyDescent="0.2">
      <c r="A35" s="188"/>
      <c r="B35" s="175" t="s">
        <v>303</v>
      </c>
      <c r="C35" s="11"/>
      <c r="D35" s="11"/>
      <c r="E35" s="11"/>
      <c r="F35" s="46">
        <f>+'Codes allocation'!D118</f>
        <v>105042</v>
      </c>
      <c r="G35" s="46">
        <f>+'Codes allocation'!F118</f>
        <v>169433</v>
      </c>
      <c r="H35" s="46">
        <f>+'Codes allocation'!H118</f>
        <v>100152</v>
      </c>
      <c r="I35" s="64"/>
      <c r="J35" s="66"/>
      <c r="K35" s="66"/>
      <c r="L35" s="372"/>
      <c r="M35" s="18"/>
    </row>
    <row r="36" spans="1:13" ht="15.75" customHeight="1" x14ac:dyDescent="0.2">
      <c r="A36" s="188"/>
      <c r="B36" s="175"/>
      <c r="C36" s="11"/>
      <c r="D36" s="11"/>
      <c r="E36" s="11"/>
      <c r="F36" s="28">
        <f>SUM(F32:F35)</f>
        <v>103324.12</v>
      </c>
      <c r="G36" s="28">
        <f>SUM(G32:G35)</f>
        <v>169433</v>
      </c>
      <c r="H36" s="28">
        <f>SUM(H32:H35)</f>
        <v>107343.02</v>
      </c>
      <c r="I36" s="64"/>
      <c r="J36" s="66"/>
      <c r="K36" s="66"/>
      <c r="L36" s="66"/>
      <c r="M36" s="18"/>
    </row>
    <row r="37" spans="1:13" ht="15.75" customHeight="1" x14ac:dyDescent="0.2">
      <c r="B37" s="175"/>
      <c r="C37" s="11"/>
      <c r="D37" s="11"/>
      <c r="E37" s="11"/>
      <c r="F37" s="144"/>
      <c r="G37" s="144"/>
      <c r="H37" s="144"/>
      <c r="I37" s="64"/>
      <c r="J37" s="66"/>
      <c r="K37" s="66"/>
      <c r="L37" s="66"/>
      <c r="M37" s="18"/>
    </row>
    <row r="38" spans="1:13" ht="15.75" customHeight="1" thickBot="1" x14ac:dyDescent="0.25">
      <c r="B38" s="180" t="s">
        <v>219</v>
      </c>
      <c r="C38" s="11"/>
      <c r="D38" s="11"/>
      <c r="E38" s="11"/>
      <c r="F38" s="143">
        <f>+F30-F36</f>
        <v>127575.88</v>
      </c>
      <c r="G38" s="143">
        <f>+G30-G36</f>
        <v>82680</v>
      </c>
      <c r="H38" s="143">
        <f>(+H30-H36)</f>
        <v>184976.97999999998</v>
      </c>
      <c r="I38" s="64"/>
      <c r="J38" s="66"/>
      <c r="K38" s="66"/>
      <c r="L38" s="66"/>
      <c r="M38" s="18"/>
    </row>
    <row r="39" spans="1:13" ht="15.75" customHeight="1" x14ac:dyDescent="0.2">
      <c r="B39" s="180"/>
      <c r="C39" s="11"/>
      <c r="D39" s="11"/>
      <c r="E39" s="11"/>
      <c r="F39" s="144"/>
      <c r="G39" s="144"/>
      <c r="H39" s="144"/>
      <c r="I39" s="64"/>
      <c r="J39" s="66"/>
      <c r="K39" s="66"/>
      <c r="L39" s="66"/>
      <c r="M39" s="18"/>
    </row>
    <row r="40" spans="1:13" s="16" customFormat="1" ht="15.75" customHeight="1" x14ac:dyDescent="0.2">
      <c r="A40" s="184">
        <f>+A20+1</f>
        <v>4</v>
      </c>
      <c r="B40" s="178" t="s">
        <v>1284</v>
      </c>
      <c r="F40" s="160"/>
      <c r="G40" s="155"/>
      <c r="H40" s="155"/>
      <c r="K40" s="26"/>
    </row>
    <row r="41" spans="1:13" s="36" customFormat="1" ht="15.75" customHeight="1" x14ac:dyDescent="0.2">
      <c r="A41" s="190"/>
      <c r="B41" s="177"/>
      <c r="F41" s="156">
        <f>'Comprehensive Income'!$C$5</f>
        <v>2018</v>
      </c>
      <c r="G41" s="156">
        <f>'Comprehensive Income'!$D$5</f>
        <v>2018</v>
      </c>
      <c r="H41" s="156">
        <f>'Comprehensive Income'!$E$5</f>
        <v>2017</v>
      </c>
      <c r="K41" s="26"/>
    </row>
    <row r="42" spans="1:13" s="26" customFormat="1" ht="15.75" customHeight="1" x14ac:dyDescent="0.2">
      <c r="A42" s="185"/>
      <c r="B42" s="82"/>
      <c r="F42" s="157" t="s">
        <v>800</v>
      </c>
      <c r="G42" s="157" t="s">
        <v>801</v>
      </c>
      <c r="H42" s="157" t="s">
        <v>800</v>
      </c>
    </row>
    <row r="43" spans="1:13" s="26" customFormat="1" ht="15.75" customHeight="1" x14ac:dyDescent="0.2">
      <c r="A43" s="185"/>
      <c r="B43" s="82"/>
      <c r="F43" s="157"/>
      <c r="G43" s="171" t="s">
        <v>366</v>
      </c>
      <c r="H43" s="157"/>
    </row>
    <row r="44" spans="1:13" s="26" customFormat="1" ht="15.75" customHeight="1" x14ac:dyDescent="0.2">
      <c r="A44" s="185"/>
      <c r="B44" s="82"/>
      <c r="F44" s="157" t="s">
        <v>799</v>
      </c>
      <c r="G44" s="157" t="s">
        <v>799</v>
      </c>
      <c r="H44" s="157" t="s">
        <v>799</v>
      </c>
    </row>
    <row r="45" spans="1:13" s="26" customFormat="1" ht="15.75" customHeight="1" x14ac:dyDescent="0.2">
      <c r="A45" s="187"/>
      <c r="B45" s="325" t="s">
        <v>812</v>
      </c>
      <c r="F45" s="28">
        <f>+'Codes allocation'!D153</f>
        <v>26362</v>
      </c>
      <c r="G45" s="28">
        <f>+'Codes allocation'!F153</f>
        <v>41637</v>
      </c>
      <c r="H45" s="28">
        <f>+'Codes allocation'!H153</f>
        <v>44880</v>
      </c>
      <c r="L45" s="26" t="s">
        <v>1014</v>
      </c>
    </row>
    <row r="46" spans="1:13" ht="15.75" customHeight="1" x14ac:dyDescent="0.2">
      <c r="A46" s="186"/>
      <c r="B46" s="325" t="s">
        <v>220</v>
      </c>
      <c r="F46" s="28">
        <f>+'Codes allocation'!D156</f>
        <v>5099</v>
      </c>
      <c r="G46" s="28">
        <f>+'Codes allocation'!F156</f>
        <v>7000</v>
      </c>
      <c r="H46" s="28">
        <f>+'Codes allocation'!H156</f>
        <v>7368</v>
      </c>
    </row>
    <row r="47" spans="1:13" ht="15.75" customHeight="1" x14ac:dyDescent="0.2">
      <c r="A47" s="186"/>
      <c r="B47" s="325" t="s">
        <v>831</v>
      </c>
      <c r="F47" s="28">
        <f>+'Codes allocation'!D165-3</f>
        <v>9616045</v>
      </c>
      <c r="G47" s="28">
        <f>+'Codes allocation'!F165</f>
        <v>8978764</v>
      </c>
      <c r="H47" s="28">
        <f>+'Codes allocation'!H165-3</f>
        <v>8823801</v>
      </c>
    </row>
    <row r="48" spans="1:13" ht="15.75" customHeight="1" x14ac:dyDescent="0.2">
      <c r="A48" s="186"/>
      <c r="B48" s="325" t="s">
        <v>832</v>
      </c>
      <c r="F48" s="28">
        <f>+'Codes allocation'!D169</f>
        <v>3970</v>
      </c>
      <c r="G48" s="28">
        <f>+'Codes allocation'!F169</f>
        <v>14000</v>
      </c>
      <c r="H48" s="28">
        <f>+'Codes allocation'!H169</f>
        <v>5038</v>
      </c>
      <c r="I48" s="9"/>
    </row>
    <row r="49" spans="1:12" ht="15.75" customHeight="1" x14ac:dyDescent="0.2">
      <c r="A49" s="186"/>
      <c r="B49" s="175"/>
      <c r="F49" s="28"/>
      <c r="G49" s="28"/>
      <c r="H49" s="28"/>
      <c r="I49" s="235"/>
      <c r="J49" s="358"/>
    </row>
    <row r="50" spans="1:12" ht="15.75" customHeight="1" x14ac:dyDescent="0.2">
      <c r="F50" s="76">
        <f>SUM(F45:F49)</f>
        <v>9651476</v>
      </c>
      <c r="G50" s="76">
        <f>SUM(G45:G49)</f>
        <v>9041401</v>
      </c>
      <c r="H50" s="76">
        <f>SUM(H45:H49)</f>
        <v>8881087</v>
      </c>
      <c r="I50" s="30"/>
      <c r="J50" s="334"/>
      <c r="K50" s="30"/>
    </row>
    <row r="51" spans="1:12" ht="15.75" customHeight="1" x14ac:dyDescent="0.2">
      <c r="F51" s="28"/>
      <c r="G51" s="28"/>
      <c r="H51" s="28"/>
      <c r="I51" s="30"/>
      <c r="J51" s="334"/>
      <c r="K51" s="30"/>
    </row>
    <row r="52" spans="1:12" s="16" customFormat="1" ht="15.75" customHeight="1" x14ac:dyDescent="0.2">
      <c r="A52" s="184">
        <v>5</v>
      </c>
      <c r="B52" s="178" t="s">
        <v>1305</v>
      </c>
      <c r="F52" s="160"/>
      <c r="G52" s="155"/>
      <c r="H52" s="155"/>
      <c r="K52" s="26"/>
    </row>
    <row r="53" spans="1:12" s="36" customFormat="1" ht="15.75" customHeight="1" x14ac:dyDescent="0.2">
      <c r="A53" s="190"/>
      <c r="B53" s="177"/>
      <c r="F53" s="156">
        <f>'Comprehensive Income'!$C$5</f>
        <v>2018</v>
      </c>
      <c r="G53" s="156">
        <f>'Comprehensive Income'!$D$5</f>
        <v>2018</v>
      </c>
      <c r="H53" s="156">
        <f>'Comprehensive Income'!$E$5</f>
        <v>2017</v>
      </c>
      <c r="K53" s="26"/>
    </row>
    <row r="54" spans="1:12" s="26" customFormat="1" ht="15.75" customHeight="1" x14ac:dyDescent="0.2">
      <c r="A54" s="185"/>
      <c r="B54" s="82"/>
      <c r="F54" s="157" t="s">
        <v>800</v>
      </c>
      <c r="G54" s="157" t="s">
        <v>801</v>
      </c>
      <c r="H54" s="157" t="s">
        <v>800</v>
      </c>
    </row>
    <row r="55" spans="1:12" s="26" customFormat="1" ht="15.75" customHeight="1" x14ac:dyDescent="0.2">
      <c r="A55" s="185"/>
      <c r="B55" s="82"/>
      <c r="F55" s="157"/>
      <c r="G55" s="171" t="s">
        <v>366</v>
      </c>
      <c r="H55" s="157"/>
    </row>
    <row r="56" spans="1:12" s="26" customFormat="1" ht="15.75" customHeight="1" x14ac:dyDescent="0.2">
      <c r="A56" s="185"/>
      <c r="B56" s="82"/>
      <c r="F56" s="157" t="s">
        <v>799</v>
      </c>
      <c r="G56" s="157" t="s">
        <v>799</v>
      </c>
      <c r="H56" s="157" t="s">
        <v>799</v>
      </c>
    </row>
    <row r="57" spans="1:12" s="26" customFormat="1" ht="15.75" customHeight="1" x14ac:dyDescent="0.2">
      <c r="A57" s="187"/>
      <c r="B57" s="325" t="s">
        <v>812</v>
      </c>
      <c r="F57" s="28">
        <f>+'Codes allocation'!D193</f>
        <v>194001</v>
      </c>
      <c r="G57" s="28">
        <f>+'Codes allocation'!F193</f>
        <v>244000</v>
      </c>
      <c r="H57" s="28">
        <f>+'Codes allocation'!H193</f>
        <v>181286</v>
      </c>
      <c r="L57" s="26" t="s">
        <v>1014</v>
      </c>
    </row>
    <row r="58" spans="1:12" ht="15.75" customHeight="1" x14ac:dyDescent="0.2">
      <c r="A58" s="186"/>
      <c r="B58" s="325" t="s">
        <v>220</v>
      </c>
      <c r="F58" s="28">
        <f>+'Codes allocation'!D195</f>
        <v>1801</v>
      </c>
      <c r="G58" s="28">
        <f>+'Codes allocation'!F195</f>
        <v>1000</v>
      </c>
      <c r="H58" s="28">
        <f>+'Codes allocation'!H195</f>
        <v>829</v>
      </c>
    </row>
    <row r="59" spans="1:12" ht="15.75" customHeight="1" x14ac:dyDescent="0.2">
      <c r="A59" s="186"/>
      <c r="B59" s="325" t="s">
        <v>831</v>
      </c>
      <c r="F59" s="28">
        <f>+'Codes allocation'!D202</f>
        <v>312295</v>
      </c>
      <c r="G59" s="28">
        <f>+'Codes allocation'!F202</f>
        <v>343776</v>
      </c>
      <c r="H59" s="28">
        <f>+'Codes allocation'!H202</f>
        <v>225733</v>
      </c>
    </row>
    <row r="60" spans="1:12" ht="15.75" customHeight="1" x14ac:dyDescent="0.2">
      <c r="A60" s="186"/>
      <c r="B60" s="325" t="s">
        <v>832</v>
      </c>
      <c r="F60" s="28">
        <f>+'Codes allocation'!D204</f>
        <v>351</v>
      </c>
      <c r="G60" s="28">
        <f>+'Codes allocation'!F204</f>
        <v>1000</v>
      </c>
      <c r="H60" s="28">
        <f>+'Codes allocation'!H204</f>
        <v>210</v>
      </c>
      <c r="I60" s="9"/>
    </row>
    <row r="61" spans="1:12" ht="15.75" customHeight="1" x14ac:dyDescent="0.2">
      <c r="A61" s="186"/>
      <c r="B61" s="175"/>
      <c r="F61" s="28"/>
      <c r="G61" s="28"/>
      <c r="H61" s="28"/>
      <c r="I61" s="235"/>
      <c r="J61" s="358"/>
    </row>
    <row r="62" spans="1:12" ht="15.75" customHeight="1" x14ac:dyDescent="0.2">
      <c r="F62" s="76">
        <f>SUM(F57:F61)</f>
        <v>508448</v>
      </c>
      <c r="G62" s="76">
        <f>SUM(G57:G61)</f>
        <v>589776</v>
      </c>
      <c r="H62" s="76">
        <f>SUM(H57:H61)</f>
        <v>408058</v>
      </c>
      <c r="I62" s="30"/>
      <c r="J62" s="334"/>
      <c r="K62" s="30"/>
    </row>
    <row r="63" spans="1:12" ht="15.75" customHeight="1" x14ac:dyDescent="0.2">
      <c r="F63" s="28"/>
      <c r="G63" s="28"/>
      <c r="H63" s="28"/>
      <c r="I63" s="30"/>
      <c r="J63" s="334"/>
      <c r="K63" s="30"/>
    </row>
    <row r="64" spans="1:12" ht="15.75" customHeight="1" x14ac:dyDescent="0.2">
      <c r="F64" s="28"/>
      <c r="G64" s="28"/>
      <c r="H64" s="28"/>
      <c r="I64" s="30"/>
      <c r="J64" s="334"/>
      <c r="K64" s="30"/>
    </row>
    <row r="65" spans="1:12" s="16" customFormat="1" ht="15.75" customHeight="1" x14ac:dyDescent="0.2">
      <c r="A65" s="184">
        <v>6</v>
      </c>
      <c r="B65" s="178" t="s">
        <v>1287</v>
      </c>
      <c r="F65" s="160"/>
      <c r="G65" s="155"/>
      <c r="H65" s="155"/>
      <c r="K65" s="26"/>
    </row>
    <row r="66" spans="1:12" s="36" customFormat="1" ht="15.75" customHeight="1" x14ac:dyDescent="0.2">
      <c r="A66" s="190"/>
      <c r="B66" s="177"/>
      <c r="F66" s="156">
        <f>'Comprehensive Income'!$C$5</f>
        <v>2018</v>
      </c>
      <c r="G66" s="156">
        <f>'Comprehensive Income'!$D$5</f>
        <v>2018</v>
      </c>
      <c r="H66" s="156">
        <f>'Comprehensive Income'!$E$5</f>
        <v>2017</v>
      </c>
      <c r="K66" s="26"/>
    </row>
    <row r="67" spans="1:12" s="26" customFormat="1" ht="15.75" customHeight="1" x14ac:dyDescent="0.2">
      <c r="A67" s="185"/>
      <c r="B67" s="82"/>
      <c r="F67" s="157" t="s">
        <v>800</v>
      </c>
      <c r="G67" s="157" t="s">
        <v>801</v>
      </c>
      <c r="H67" s="157" t="s">
        <v>800</v>
      </c>
    </row>
    <row r="68" spans="1:12" s="26" customFormat="1" ht="15.75" customHeight="1" x14ac:dyDescent="0.2">
      <c r="A68" s="185"/>
      <c r="B68" s="82"/>
      <c r="F68" s="157"/>
      <c r="G68" s="171" t="s">
        <v>366</v>
      </c>
      <c r="H68" s="157"/>
    </row>
    <row r="69" spans="1:12" s="26" customFormat="1" ht="15.75" customHeight="1" x14ac:dyDescent="0.2">
      <c r="A69" s="185"/>
      <c r="B69" s="82"/>
      <c r="F69" s="157" t="s">
        <v>799</v>
      </c>
      <c r="G69" s="157" t="s">
        <v>799</v>
      </c>
      <c r="H69" s="157" t="s">
        <v>799</v>
      </c>
    </row>
    <row r="70" spans="1:12" s="26" customFormat="1" ht="15.75" customHeight="1" x14ac:dyDescent="0.2">
      <c r="A70" s="187"/>
      <c r="B70" s="325" t="s">
        <v>812</v>
      </c>
      <c r="F70" s="28">
        <f>+'Codes allocation'!D251</f>
        <v>269358</v>
      </c>
      <c r="G70" s="28">
        <f>+'Codes allocation'!F251</f>
        <v>366762</v>
      </c>
      <c r="H70" s="28">
        <f>+'Codes allocation'!H251</f>
        <v>197176</v>
      </c>
      <c r="L70" s="26" t="s">
        <v>1014</v>
      </c>
    </row>
    <row r="71" spans="1:12" ht="15.75" customHeight="1" x14ac:dyDescent="0.2">
      <c r="A71" s="186"/>
      <c r="B71" s="325" t="s">
        <v>220</v>
      </c>
      <c r="F71" s="28">
        <f>+'Codes allocation'!D255</f>
        <v>3143</v>
      </c>
      <c r="G71" s="28">
        <f>+'Codes allocation'!F255</f>
        <v>4500</v>
      </c>
      <c r="H71" s="28">
        <f>+'Codes allocation'!H255</f>
        <v>3150</v>
      </c>
    </row>
    <row r="72" spans="1:12" ht="15.75" customHeight="1" x14ac:dyDescent="0.2">
      <c r="A72" s="186"/>
      <c r="B72" s="325" t="s">
        <v>831</v>
      </c>
      <c r="F72" s="28">
        <f>+'Codes allocation'!D268</f>
        <v>814281</v>
      </c>
      <c r="G72" s="28">
        <f>+'Codes allocation'!F268</f>
        <v>1044615</v>
      </c>
      <c r="H72" s="28">
        <f>+'Codes allocation'!H268</f>
        <v>749229</v>
      </c>
    </row>
    <row r="73" spans="1:12" ht="15.75" customHeight="1" x14ac:dyDescent="0.2">
      <c r="A73" s="186"/>
      <c r="B73" s="325" t="s">
        <v>832</v>
      </c>
      <c r="F73" s="28">
        <f>+'Codes allocation'!D271</f>
        <v>4290</v>
      </c>
      <c r="G73" s="28">
        <f>+'Codes allocation'!F271</f>
        <v>25500</v>
      </c>
      <c r="H73" s="28">
        <f>+'Codes allocation'!H271</f>
        <v>4510</v>
      </c>
      <c r="I73" s="9"/>
    </row>
    <row r="74" spans="1:12" ht="15.75" customHeight="1" x14ac:dyDescent="0.2">
      <c r="A74" s="186"/>
      <c r="B74" s="175"/>
      <c r="F74" s="28"/>
      <c r="G74" s="28"/>
      <c r="H74" s="28"/>
      <c r="I74" s="235"/>
      <c r="J74" s="358"/>
    </row>
    <row r="75" spans="1:12" ht="15.75" customHeight="1" x14ac:dyDescent="0.2">
      <c r="F75" s="76">
        <f>SUM(F70:F74)</f>
        <v>1091072</v>
      </c>
      <c r="G75" s="76">
        <f>SUM(G70:G74)</f>
        <v>1441377</v>
      </c>
      <c r="H75" s="76">
        <f>SUM(H70:H74)</f>
        <v>954065</v>
      </c>
      <c r="I75" s="30"/>
      <c r="J75" s="334"/>
      <c r="K75" s="30"/>
    </row>
    <row r="76" spans="1:12" ht="17.25" customHeight="1" x14ac:dyDescent="0.2">
      <c r="F76" s="28"/>
      <c r="G76" s="28"/>
      <c r="H76" s="28"/>
      <c r="I76" s="30"/>
      <c r="J76" s="334"/>
      <c r="K76" s="30"/>
    </row>
    <row r="77" spans="1:12" s="16" customFormat="1" ht="15.75" customHeight="1" x14ac:dyDescent="0.2">
      <c r="A77" s="184">
        <v>7</v>
      </c>
      <c r="B77" s="178" t="s">
        <v>1288</v>
      </c>
      <c r="F77" s="160"/>
      <c r="G77" s="155"/>
      <c r="H77" s="155"/>
      <c r="K77" s="26"/>
    </row>
    <row r="78" spans="1:12" s="36" customFormat="1" ht="15.75" customHeight="1" x14ac:dyDescent="0.2">
      <c r="A78" s="190"/>
      <c r="B78" s="177"/>
      <c r="F78" s="156">
        <f>'Comprehensive Income'!$C$5</f>
        <v>2018</v>
      </c>
      <c r="G78" s="156">
        <f>'Comprehensive Income'!$D$5</f>
        <v>2018</v>
      </c>
      <c r="H78" s="156">
        <f>'Comprehensive Income'!$E$5</f>
        <v>2017</v>
      </c>
      <c r="K78" s="26"/>
    </row>
    <row r="79" spans="1:12" s="26" customFormat="1" ht="15.75" customHeight="1" x14ac:dyDescent="0.2">
      <c r="A79" s="185"/>
      <c r="B79" s="82"/>
      <c r="F79" s="157" t="s">
        <v>800</v>
      </c>
      <c r="G79" s="157" t="s">
        <v>801</v>
      </c>
      <c r="H79" s="157" t="s">
        <v>800</v>
      </c>
    </row>
    <row r="80" spans="1:12" s="26" customFormat="1" ht="15.75" customHeight="1" x14ac:dyDescent="0.2">
      <c r="A80" s="185"/>
      <c r="B80" s="82"/>
      <c r="F80" s="157"/>
      <c r="G80" s="171" t="s">
        <v>366</v>
      </c>
      <c r="H80" s="157"/>
    </row>
    <row r="81" spans="1:12" s="26" customFormat="1" ht="15.75" customHeight="1" x14ac:dyDescent="0.2">
      <c r="A81" s="185"/>
      <c r="B81" s="82"/>
      <c r="F81" s="157" t="s">
        <v>799</v>
      </c>
      <c r="G81" s="157" t="s">
        <v>799</v>
      </c>
      <c r="H81" s="157" t="s">
        <v>799</v>
      </c>
    </row>
    <row r="82" spans="1:12" s="26" customFormat="1" ht="15.75" customHeight="1" x14ac:dyDescent="0.2">
      <c r="A82" s="187"/>
      <c r="B82" s="325" t="s">
        <v>812</v>
      </c>
      <c r="F82" s="28">
        <f>+'Codes allocation'!D539</f>
        <v>1432101</v>
      </c>
      <c r="G82" s="28">
        <f>+'Codes allocation'!F539</f>
        <v>1688087</v>
      </c>
      <c r="H82" s="28">
        <f>+'Codes allocation'!H539</f>
        <v>1257403</v>
      </c>
      <c r="L82" s="26" t="s">
        <v>1014</v>
      </c>
    </row>
    <row r="83" spans="1:12" ht="15.75" customHeight="1" x14ac:dyDescent="0.2">
      <c r="A83" s="186"/>
      <c r="B83" s="325" t="s">
        <v>220</v>
      </c>
      <c r="F83" s="28">
        <f>+'Codes allocation'!D558</f>
        <v>4597</v>
      </c>
      <c r="G83" s="28">
        <f>+'Codes allocation'!F558</f>
        <v>14050</v>
      </c>
      <c r="H83" s="28">
        <f>+'Codes allocation'!H558</f>
        <v>4554</v>
      </c>
    </row>
    <row r="84" spans="1:12" ht="15.75" customHeight="1" x14ac:dyDescent="0.2">
      <c r="A84" s="186"/>
      <c r="B84" s="325" t="s">
        <v>831</v>
      </c>
      <c r="F84" s="28">
        <f>+'Codes allocation'!D592</f>
        <v>1610176</v>
      </c>
      <c r="G84" s="28">
        <f>+'Codes allocation'!F592</f>
        <v>2149589</v>
      </c>
      <c r="H84" s="28">
        <f>+'Codes allocation'!H592</f>
        <v>1541172</v>
      </c>
    </row>
    <row r="85" spans="1:12" ht="15.75" customHeight="1" x14ac:dyDescent="0.2">
      <c r="A85" s="186"/>
      <c r="B85" s="325" t="s">
        <v>832</v>
      </c>
      <c r="F85" s="28">
        <f>+'Codes allocation'!D629</f>
        <v>381571</v>
      </c>
      <c r="G85" s="28">
        <f>+'Codes allocation'!F629</f>
        <v>592282</v>
      </c>
      <c r="H85" s="28">
        <f>+'Codes allocation'!H629</f>
        <v>293680</v>
      </c>
      <c r="I85" s="9"/>
    </row>
    <row r="86" spans="1:12" ht="15.75" customHeight="1" x14ac:dyDescent="0.2">
      <c r="A86" s="186"/>
      <c r="B86" s="175"/>
      <c r="F86" s="28"/>
      <c r="G86" s="28"/>
      <c r="H86" s="28"/>
      <c r="I86" s="235"/>
      <c r="J86" s="358"/>
    </row>
    <row r="87" spans="1:12" ht="15.75" customHeight="1" x14ac:dyDescent="0.2">
      <c r="F87" s="76">
        <f>SUM(F82:F86)</f>
        <v>3428445</v>
      </c>
      <c r="G87" s="76">
        <f>SUM(G82:G86)</f>
        <v>4444008</v>
      </c>
      <c r="H87" s="76">
        <f>SUM(H82:H86)</f>
        <v>3096809</v>
      </c>
      <c r="I87" s="30"/>
      <c r="J87" s="334"/>
      <c r="K87" s="30"/>
    </row>
    <row r="88" spans="1:12" ht="16.5" customHeight="1" x14ac:dyDescent="0.2">
      <c r="F88" s="28"/>
      <c r="G88" s="28"/>
      <c r="H88" s="28"/>
      <c r="I88" s="30"/>
      <c r="J88" s="334"/>
      <c r="K88" s="30"/>
    </row>
    <row r="89" spans="1:12" s="16" customFormat="1" ht="15.75" customHeight="1" x14ac:dyDescent="0.2">
      <c r="A89" s="184">
        <v>8</v>
      </c>
      <c r="B89" s="178" t="s">
        <v>1311</v>
      </c>
      <c r="F89" s="160"/>
      <c r="G89" s="155"/>
      <c r="H89" s="155"/>
      <c r="K89" s="26"/>
    </row>
    <row r="90" spans="1:12" s="36" customFormat="1" ht="15.75" customHeight="1" x14ac:dyDescent="0.2">
      <c r="A90" s="190"/>
      <c r="B90" s="177"/>
      <c r="F90" s="156">
        <f>'Comprehensive Income'!$C$5</f>
        <v>2018</v>
      </c>
      <c r="G90" s="156">
        <f>'Comprehensive Income'!$D$5</f>
        <v>2018</v>
      </c>
      <c r="H90" s="156">
        <f>'Comprehensive Income'!$E$5</f>
        <v>2017</v>
      </c>
      <c r="K90" s="26"/>
    </row>
    <row r="91" spans="1:12" s="26" customFormat="1" ht="15.75" customHeight="1" x14ac:dyDescent="0.2">
      <c r="A91" s="185"/>
      <c r="B91" s="82"/>
      <c r="F91" s="157" t="s">
        <v>800</v>
      </c>
      <c r="G91" s="157" t="s">
        <v>801</v>
      </c>
      <c r="H91" s="157" t="s">
        <v>800</v>
      </c>
    </row>
    <row r="92" spans="1:12" s="26" customFormat="1" ht="15.75" customHeight="1" x14ac:dyDescent="0.2">
      <c r="A92" s="185"/>
      <c r="B92" s="82"/>
      <c r="F92" s="157"/>
      <c r="G92" s="171" t="s">
        <v>366</v>
      </c>
      <c r="H92" s="157"/>
    </row>
    <row r="93" spans="1:12" s="26" customFormat="1" ht="15.75" customHeight="1" x14ac:dyDescent="0.2">
      <c r="A93" s="185"/>
      <c r="B93" s="82"/>
      <c r="F93" s="157" t="s">
        <v>799</v>
      </c>
      <c r="G93" s="157" t="s">
        <v>799</v>
      </c>
      <c r="H93" s="157" t="s">
        <v>799</v>
      </c>
    </row>
    <row r="94" spans="1:12" s="26" customFormat="1" ht="15.75" customHeight="1" x14ac:dyDescent="0.2">
      <c r="A94" s="187"/>
      <c r="B94" s="325" t="s">
        <v>812</v>
      </c>
      <c r="F94" s="28">
        <f>'Codes allocation'!D678</f>
        <v>1131</v>
      </c>
      <c r="G94" s="28">
        <f>'Codes allocation'!F678</f>
        <v>1300</v>
      </c>
      <c r="H94" s="28">
        <f>'Codes allocation'!H678</f>
        <v>1381</v>
      </c>
      <c r="L94" s="26" t="s">
        <v>1014</v>
      </c>
    </row>
    <row r="95" spans="1:12" ht="15.75" hidden="1" customHeight="1" x14ac:dyDescent="0.2">
      <c r="A95" s="186"/>
      <c r="B95" s="325"/>
      <c r="F95" s="28"/>
      <c r="G95" s="28"/>
      <c r="H95" s="28"/>
    </row>
    <row r="96" spans="1:12" ht="15.75" customHeight="1" x14ac:dyDescent="0.2">
      <c r="A96" s="186"/>
      <c r="B96" s="325" t="s">
        <v>831</v>
      </c>
      <c r="F96" s="28">
        <f>'Codes allocation'!D706</f>
        <v>5132</v>
      </c>
      <c r="G96" s="28">
        <f>'Codes allocation'!F706</f>
        <v>3805</v>
      </c>
      <c r="H96" s="28">
        <f>'Codes allocation'!H706</f>
        <v>4602</v>
      </c>
    </row>
    <row r="97" spans="1:11" ht="15.75" customHeight="1" x14ac:dyDescent="0.2">
      <c r="A97" s="186"/>
      <c r="B97" s="325" t="s">
        <v>832</v>
      </c>
      <c r="F97" s="28">
        <f>'Codes allocation'!D719</f>
        <v>458</v>
      </c>
      <c r="G97" s="28">
        <f>'Codes allocation'!F719</f>
        <v>200</v>
      </c>
      <c r="H97" s="28">
        <f>'Codes allocation'!H719</f>
        <v>711</v>
      </c>
      <c r="I97" s="9"/>
    </row>
    <row r="98" spans="1:11" ht="15.75" customHeight="1" x14ac:dyDescent="0.2">
      <c r="A98" s="186"/>
      <c r="B98" s="175"/>
      <c r="F98" s="28"/>
      <c r="G98" s="28"/>
      <c r="H98" s="28"/>
      <c r="I98" s="235"/>
      <c r="J98" s="358"/>
    </row>
    <row r="99" spans="1:11" ht="15.75" customHeight="1" x14ac:dyDescent="0.2">
      <c r="F99" s="76">
        <f>SUM(F94:F98)</f>
        <v>6721</v>
      </c>
      <c r="G99" s="76">
        <f>SUM(G94:G98)</f>
        <v>5305</v>
      </c>
      <c r="H99" s="76">
        <f>SUM(H94:H98)</f>
        <v>6694</v>
      </c>
      <c r="I99" s="30"/>
      <c r="J99" s="334"/>
      <c r="K99" s="30"/>
    </row>
    <row r="100" spans="1:11" ht="15.75" customHeight="1" x14ac:dyDescent="0.2">
      <c r="F100" s="28"/>
      <c r="G100" s="28"/>
      <c r="H100" s="28"/>
      <c r="I100" s="30"/>
      <c r="J100" s="334"/>
      <c r="K100" s="30"/>
    </row>
    <row r="101" spans="1:11" ht="15.75" customHeight="1" x14ac:dyDescent="0.2">
      <c r="F101" s="28"/>
      <c r="G101" s="28"/>
      <c r="H101" s="28"/>
      <c r="I101" s="30"/>
      <c r="J101" s="334"/>
      <c r="K101" s="30"/>
    </row>
    <row r="102" spans="1:11" ht="15.75" customHeight="1" x14ac:dyDescent="0.2">
      <c r="E102" s="9"/>
      <c r="F102" s="28"/>
      <c r="G102" s="28"/>
      <c r="H102" s="28"/>
      <c r="I102" s="30"/>
      <c r="J102" s="34"/>
      <c r="K102" s="30"/>
    </row>
    <row r="103" spans="1:11" ht="15.75" customHeight="1" x14ac:dyDescent="0.2">
      <c r="A103" s="184">
        <f>A89+1</f>
        <v>9</v>
      </c>
      <c r="B103" s="178" t="s">
        <v>806</v>
      </c>
      <c r="C103" s="16"/>
      <c r="D103" s="16"/>
      <c r="E103" s="31"/>
      <c r="F103" s="155"/>
      <c r="G103" s="237"/>
      <c r="H103" s="155"/>
      <c r="I103" s="52"/>
    </row>
    <row r="104" spans="1:11" ht="15.75" customHeight="1" x14ac:dyDescent="0.2">
      <c r="B104" s="82"/>
      <c r="C104" s="26"/>
      <c r="D104" s="26"/>
      <c r="F104" s="156">
        <f>'Comprehensive Income'!$C$5</f>
        <v>2018</v>
      </c>
      <c r="G104" s="156">
        <f>'Comprehensive Income'!$D$5</f>
        <v>2018</v>
      </c>
      <c r="H104" s="156">
        <f>'Comprehensive Income'!$E$5</f>
        <v>2017</v>
      </c>
      <c r="I104" s="235"/>
    </row>
    <row r="105" spans="1:11" ht="15.75" customHeight="1" x14ac:dyDescent="0.2">
      <c r="B105" s="82"/>
      <c r="C105" s="26"/>
      <c r="D105" s="26"/>
      <c r="F105" s="157" t="s">
        <v>800</v>
      </c>
      <c r="G105" s="157" t="s">
        <v>801</v>
      </c>
      <c r="H105" s="157" t="s">
        <v>800</v>
      </c>
    </row>
    <row r="106" spans="1:11" ht="15.75" customHeight="1" x14ac:dyDescent="0.2">
      <c r="B106" s="82"/>
      <c r="C106" s="26"/>
      <c r="D106" s="26"/>
      <c r="F106" s="157"/>
      <c r="G106" s="171" t="s">
        <v>366</v>
      </c>
      <c r="H106" s="157"/>
    </row>
    <row r="107" spans="1:11" ht="15.75" customHeight="1" x14ac:dyDescent="0.2">
      <c r="B107" s="82"/>
      <c r="C107" s="26"/>
      <c r="D107" s="26"/>
      <c r="F107" s="157" t="s">
        <v>799</v>
      </c>
      <c r="G107" s="157" t="s">
        <v>799</v>
      </c>
      <c r="H107" s="157" t="s">
        <v>799</v>
      </c>
    </row>
    <row r="108" spans="1:11" ht="15.75" customHeight="1" x14ac:dyDescent="0.2">
      <c r="A108" s="186"/>
      <c r="B108" s="176" t="s">
        <v>850</v>
      </c>
      <c r="E108" s="9"/>
      <c r="F108" s="28">
        <f>+'Codes allocation'!D723</f>
        <v>9462</v>
      </c>
      <c r="G108" s="28">
        <f>+'Codes allocation'!F723</f>
        <v>8828</v>
      </c>
      <c r="H108" s="28">
        <f>+'Codes allocation'!H723</f>
        <v>8720</v>
      </c>
    </row>
    <row r="109" spans="1:11" ht="15.75" customHeight="1" x14ac:dyDescent="0.2">
      <c r="B109" s="176" t="s">
        <v>833</v>
      </c>
      <c r="F109" s="28">
        <f>+'Codes allocation'!D725</f>
        <v>9242</v>
      </c>
      <c r="G109" s="28">
        <f>+'Codes allocation'!F725</f>
        <v>9300</v>
      </c>
      <c r="H109" s="28">
        <f>+'Codes allocation'!H725</f>
        <v>8040</v>
      </c>
    </row>
    <row r="110" spans="1:11" ht="15.75" customHeight="1" x14ac:dyDescent="0.2">
      <c r="B110" s="176" t="s">
        <v>834</v>
      </c>
      <c r="F110" s="28">
        <f>+'Codes allocation'!D731</f>
        <v>47613</v>
      </c>
      <c r="G110" s="28">
        <f>+'Codes allocation'!F731</f>
        <v>58500</v>
      </c>
      <c r="H110" s="28">
        <f>+'Codes allocation'!H731</f>
        <v>59874</v>
      </c>
    </row>
    <row r="111" spans="1:11" ht="15.75" customHeight="1" x14ac:dyDescent="0.2">
      <c r="A111" s="186"/>
      <c r="B111" s="409" t="s">
        <v>819</v>
      </c>
      <c r="F111" s="28">
        <f>+'Codes allocation'!D740</f>
        <v>395815</v>
      </c>
      <c r="G111" s="28">
        <f>+'Codes allocation'!F740</f>
        <v>436067</v>
      </c>
      <c r="H111" s="28">
        <f>+'Codes allocation'!H740</f>
        <v>269168</v>
      </c>
    </row>
    <row r="112" spans="1:11" ht="15.75" customHeight="1" x14ac:dyDescent="0.2">
      <c r="A112" s="186"/>
      <c r="B112" s="176" t="s">
        <v>814</v>
      </c>
      <c r="F112" s="28">
        <f>'Codes allocation'!D743</f>
        <v>7065</v>
      </c>
      <c r="G112" s="28">
        <f>'Codes allocation'!F743</f>
        <v>7000</v>
      </c>
      <c r="H112" s="28">
        <f>'Codes allocation'!H743</f>
        <v>7963</v>
      </c>
      <c r="J112" s="9"/>
    </row>
    <row r="113" spans="1:16" ht="15.75" customHeight="1" x14ac:dyDescent="0.2">
      <c r="B113" s="176" t="s">
        <v>241</v>
      </c>
      <c r="F113" s="28">
        <f>+'Codes allocation'!D749</f>
        <v>8253</v>
      </c>
      <c r="G113" s="202">
        <f>+'Codes allocation'!F749</f>
        <v>0</v>
      </c>
      <c r="H113" s="28">
        <f>+'Codes allocation'!H749</f>
        <v>31274</v>
      </c>
    </row>
    <row r="114" spans="1:16" ht="15.75" customHeight="1" x14ac:dyDescent="0.2">
      <c r="A114" s="186"/>
      <c r="B114" s="154" t="s">
        <v>59</v>
      </c>
      <c r="F114" s="28">
        <f>+'Codes allocation'!D752</f>
        <v>1524</v>
      </c>
      <c r="G114" s="202">
        <f>+'Codes allocation'!F752</f>
        <v>0</v>
      </c>
      <c r="H114" s="202">
        <f>+'Codes allocation'!H752</f>
        <v>0</v>
      </c>
    </row>
    <row r="115" spans="1:16" ht="15.75" customHeight="1" x14ac:dyDescent="0.2">
      <c r="B115" s="154" t="s">
        <v>1290</v>
      </c>
      <c r="F115" s="28">
        <f>+'Codes allocation'!D802</f>
        <v>320977</v>
      </c>
      <c r="G115" s="28">
        <f>+'Codes allocation'!F802</f>
        <v>339087</v>
      </c>
      <c r="H115" s="28">
        <f>+'Codes allocation'!H802</f>
        <v>236106</v>
      </c>
    </row>
    <row r="116" spans="1:16" s="36" customFormat="1" ht="15.75" customHeight="1" x14ac:dyDescent="0.2">
      <c r="A116" s="187"/>
      <c r="B116" s="176" t="s">
        <v>831</v>
      </c>
      <c r="C116" s="8"/>
      <c r="D116" s="8"/>
      <c r="F116" s="28">
        <f>+'Codes allocation'!D817</f>
        <v>435069</v>
      </c>
      <c r="G116" s="28">
        <f>+'Codes allocation'!F817</f>
        <v>467008</v>
      </c>
      <c r="H116" s="28">
        <f>+'Codes allocation'!H817</f>
        <v>428000</v>
      </c>
    </row>
    <row r="117" spans="1:16" s="26" customFormat="1" ht="15.75" customHeight="1" x14ac:dyDescent="0.2">
      <c r="A117" s="186"/>
      <c r="B117" s="176" t="s">
        <v>813</v>
      </c>
      <c r="C117" s="8"/>
      <c r="D117" s="8"/>
      <c r="F117" s="28">
        <f>+'Codes allocation'!D821</f>
        <v>3143</v>
      </c>
      <c r="G117" s="28">
        <f>+'Codes allocation'!F821</f>
        <v>3593</v>
      </c>
      <c r="H117" s="28">
        <f>+'Codes allocation'!H821</f>
        <v>2241</v>
      </c>
      <c r="I117" s="36"/>
      <c r="J117" s="36"/>
      <c r="K117" s="36"/>
      <c r="L117" s="36"/>
      <c r="M117" s="36"/>
      <c r="N117" s="36"/>
      <c r="O117" s="36"/>
      <c r="P117" s="36"/>
    </row>
    <row r="118" spans="1:16" ht="15.75" customHeight="1" x14ac:dyDescent="0.2">
      <c r="A118" s="186"/>
      <c r="B118" s="154" t="s">
        <v>298</v>
      </c>
      <c r="F118" s="28">
        <f>+'Codes allocation'!D825</f>
        <v>30354</v>
      </c>
      <c r="G118" s="28">
        <f>+'Codes allocation'!F825</f>
        <v>34600</v>
      </c>
      <c r="H118" s="28">
        <f>+'Codes allocation'!H825</f>
        <v>30033</v>
      </c>
    </row>
    <row r="119" spans="1:16" s="26" customFormat="1" ht="15.75" customHeight="1" x14ac:dyDescent="0.2">
      <c r="A119" s="185"/>
      <c r="B119" s="27"/>
      <c r="C119" s="8"/>
      <c r="D119" s="8"/>
      <c r="F119" s="76">
        <f>SUM(F108:F118)</f>
        <v>1268517</v>
      </c>
      <c r="G119" s="76">
        <f>SUM(G108:G118)</f>
        <v>1363983</v>
      </c>
      <c r="H119" s="76">
        <f>SUM(H108:H118)</f>
        <v>1081419</v>
      </c>
    </row>
    <row r="120" spans="1:16" s="26" customFormat="1" ht="15.75" customHeight="1" x14ac:dyDescent="0.2">
      <c r="A120" s="185"/>
      <c r="B120" s="38"/>
      <c r="E120" s="37"/>
      <c r="F120" s="42"/>
      <c r="G120" s="42"/>
      <c r="H120" s="29"/>
    </row>
    <row r="121" spans="1:16" s="26" customFormat="1" ht="15.75" customHeight="1" x14ac:dyDescent="0.2">
      <c r="A121" s="184">
        <f>A103+1</f>
        <v>10</v>
      </c>
      <c r="B121" s="178" t="s">
        <v>811</v>
      </c>
      <c r="C121" s="16"/>
      <c r="D121" s="16"/>
      <c r="E121" s="31"/>
      <c r="F121" s="155"/>
      <c r="G121" s="237"/>
      <c r="H121" s="170"/>
    </row>
    <row r="122" spans="1:16" s="26" customFormat="1" ht="15.75" customHeight="1" x14ac:dyDescent="0.2">
      <c r="A122" s="185"/>
      <c r="B122" s="82"/>
      <c r="F122" s="156">
        <f>'Comprehensive Income'!$C$5</f>
        <v>2018</v>
      </c>
      <c r="G122" s="156">
        <f>'Comprehensive Income'!$D$5</f>
        <v>2018</v>
      </c>
      <c r="H122" s="156">
        <f>'Comprehensive Income'!$E$5</f>
        <v>2017</v>
      </c>
    </row>
    <row r="123" spans="1:16" s="26" customFormat="1" ht="15.75" customHeight="1" x14ac:dyDescent="0.2">
      <c r="A123" s="185"/>
      <c r="B123" s="82"/>
      <c r="F123" s="161" t="s">
        <v>800</v>
      </c>
      <c r="G123" s="157" t="s">
        <v>801</v>
      </c>
      <c r="H123" s="157" t="s">
        <v>800</v>
      </c>
    </row>
    <row r="124" spans="1:16" s="26" customFormat="1" ht="15.75" customHeight="1" x14ac:dyDescent="0.2">
      <c r="A124" s="185"/>
      <c r="B124" s="82"/>
      <c r="F124" s="161"/>
      <c r="G124" s="171" t="s">
        <v>366</v>
      </c>
      <c r="H124" s="157"/>
    </row>
    <row r="125" spans="1:16" s="26" customFormat="1" ht="15.75" customHeight="1" x14ac:dyDescent="0.2">
      <c r="A125" s="185"/>
      <c r="B125" s="82"/>
      <c r="F125" s="161" t="s">
        <v>799</v>
      </c>
      <c r="G125" s="157" t="s">
        <v>799</v>
      </c>
      <c r="H125" s="157" t="s">
        <v>799</v>
      </c>
    </row>
    <row r="126" spans="1:16" s="26" customFormat="1" ht="15.75" customHeight="1" x14ac:dyDescent="0.2">
      <c r="A126" s="186"/>
      <c r="B126" s="176" t="s">
        <v>1307</v>
      </c>
      <c r="C126" s="8"/>
      <c r="D126" s="8"/>
      <c r="F126" s="42">
        <f>+'Codes allocation'!D834</f>
        <v>34025</v>
      </c>
      <c r="G126" s="42">
        <f>+'Codes allocation'!F834</f>
        <v>35000</v>
      </c>
      <c r="H126" s="42">
        <f>+'Codes allocation'!H834</f>
        <v>33443</v>
      </c>
    </row>
    <row r="127" spans="1:16" s="26" customFormat="1" ht="15.75" hidden="1" customHeight="1" x14ac:dyDescent="0.2">
      <c r="A127" s="186"/>
      <c r="B127" s="176" t="s">
        <v>1308</v>
      </c>
      <c r="C127" s="8"/>
      <c r="D127" s="8"/>
      <c r="F127" s="28"/>
      <c r="G127" s="28"/>
      <c r="H127" s="28"/>
    </row>
    <row r="128" spans="1:16" s="26" customFormat="1" ht="15.75" customHeight="1" x14ac:dyDescent="0.2">
      <c r="A128" s="186"/>
      <c r="B128" s="176" t="s">
        <v>1309</v>
      </c>
      <c r="C128" s="8"/>
      <c r="D128" s="8"/>
      <c r="F128" s="28">
        <f>+'Codes allocation'!D836</f>
        <v>12115</v>
      </c>
      <c r="G128" s="28">
        <f>+'Codes allocation'!F836</f>
        <v>15811</v>
      </c>
      <c r="H128" s="28">
        <f>+'Codes allocation'!H836</f>
        <v>22811</v>
      </c>
    </row>
    <row r="129" spans="1:9" s="26" customFormat="1" ht="15.75" customHeight="1" x14ac:dyDescent="0.2">
      <c r="A129" s="186"/>
      <c r="B129" s="176" t="s">
        <v>803</v>
      </c>
      <c r="C129" s="8"/>
      <c r="D129" s="8"/>
      <c r="F129" s="28">
        <f>+'Codes allocation'!D840</f>
        <v>14912</v>
      </c>
      <c r="G129" s="28">
        <f>+'Codes allocation'!F840</f>
        <v>17700</v>
      </c>
      <c r="H129" s="28">
        <f>+'Codes allocation'!H840</f>
        <v>13652</v>
      </c>
    </row>
    <row r="130" spans="1:9" s="26" customFormat="1" ht="15.75" customHeight="1" x14ac:dyDescent="0.2">
      <c r="A130" s="186"/>
      <c r="B130" s="176" t="s">
        <v>607</v>
      </c>
      <c r="C130" s="8"/>
      <c r="D130" s="8"/>
      <c r="F130" s="28">
        <f>+'Codes allocation'!D844</f>
        <v>176095</v>
      </c>
      <c r="G130" s="28">
        <f>+'Codes allocation'!F844</f>
        <v>187000</v>
      </c>
      <c r="H130" s="28">
        <f>+'Codes allocation'!H844</f>
        <v>141714</v>
      </c>
    </row>
    <row r="131" spans="1:9" s="26" customFormat="1" ht="15.75" customHeight="1" x14ac:dyDescent="0.2">
      <c r="A131" s="186"/>
      <c r="B131" s="176" t="s">
        <v>243</v>
      </c>
      <c r="C131" s="8"/>
      <c r="D131" s="8"/>
      <c r="F131" s="28">
        <f>+'Codes allocation'!D848</f>
        <v>10522</v>
      </c>
      <c r="G131" s="28">
        <f>+'Codes allocation'!F848</f>
        <v>10000</v>
      </c>
      <c r="H131" s="28">
        <f>+'Codes allocation'!H848</f>
        <v>11708</v>
      </c>
    </row>
    <row r="132" spans="1:9" s="26" customFormat="1" ht="15.75" customHeight="1" x14ac:dyDescent="0.2">
      <c r="A132" s="186"/>
      <c r="B132" s="176" t="s">
        <v>600</v>
      </c>
      <c r="C132" s="8"/>
      <c r="D132" s="8"/>
      <c r="F132" s="28">
        <f>+'Codes allocation'!D856</f>
        <v>70270</v>
      </c>
      <c r="G132" s="28">
        <f>+'Codes allocation'!F856</f>
        <v>63827</v>
      </c>
      <c r="H132" s="28">
        <f>+'Codes allocation'!H856</f>
        <v>55662</v>
      </c>
    </row>
    <row r="133" spans="1:9" s="26" customFormat="1" ht="15.75" customHeight="1" x14ac:dyDescent="0.2">
      <c r="A133" s="187"/>
      <c r="B133" s="176" t="s">
        <v>443</v>
      </c>
      <c r="C133" s="8"/>
      <c r="D133" s="8"/>
      <c r="F133" s="28">
        <f>'Codes allocation'!D859</f>
        <v>2386322</v>
      </c>
      <c r="G133" s="28">
        <f>'Codes allocation'!F859</f>
        <v>1696984</v>
      </c>
      <c r="H133" s="28">
        <f>'Codes allocation'!H859</f>
        <v>2386322</v>
      </c>
    </row>
    <row r="134" spans="1:9" s="26" customFormat="1" ht="15.75" customHeight="1" x14ac:dyDescent="0.2">
      <c r="A134" s="187"/>
      <c r="B134" s="176" t="s">
        <v>1050</v>
      </c>
      <c r="C134" s="8"/>
      <c r="D134" s="8"/>
      <c r="F134" s="28">
        <f>'Codes allocation'!D861</f>
        <v>11271</v>
      </c>
      <c r="G134" s="28">
        <f>'Codes allocation'!F861</f>
        <v>8000</v>
      </c>
      <c r="H134" s="28">
        <f>'Codes allocation'!H861</f>
        <v>7979</v>
      </c>
    </row>
    <row r="135" spans="1:9" s="26" customFormat="1" ht="15.75" customHeight="1" x14ac:dyDescent="0.2">
      <c r="A135" s="186"/>
      <c r="B135" s="176" t="s">
        <v>1310</v>
      </c>
      <c r="C135" s="8"/>
      <c r="D135" s="9"/>
      <c r="F135" s="28">
        <f>'Codes allocation'!D865</f>
        <v>199000</v>
      </c>
      <c r="G135" s="28">
        <f>'Codes allocation'!F865</f>
        <v>200506</v>
      </c>
      <c r="H135" s="28">
        <f>'Codes allocation'!H865</f>
        <v>191294</v>
      </c>
    </row>
    <row r="136" spans="1:9" s="26" customFormat="1" ht="15.75" customHeight="1" x14ac:dyDescent="0.2">
      <c r="A136" s="186"/>
      <c r="B136" s="154" t="s">
        <v>879</v>
      </c>
      <c r="C136" s="8"/>
      <c r="D136" s="9"/>
      <c r="F136" s="28">
        <f>'Codes allocation'!D883</f>
        <v>10541</v>
      </c>
      <c r="G136" s="28">
        <f>'Codes allocation'!F883</f>
        <v>0</v>
      </c>
      <c r="H136" s="28">
        <f>'Codes allocation'!H883</f>
        <v>42868</v>
      </c>
    </row>
    <row r="137" spans="1:9" s="26" customFormat="1" ht="15.75" customHeight="1" x14ac:dyDescent="0.2">
      <c r="A137" s="185"/>
      <c r="B137" s="176"/>
      <c r="C137" s="8"/>
      <c r="D137" s="8"/>
      <c r="F137" s="76">
        <f>SUM(F126:F136)</f>
        <v>2925073</v>
      </c>
      <c r="G137" s="76">
        <f>SUM(G126:G136)</f>
        <v>2234828</v>
      </c>
      <c r="H137" s="76">
        <f>SUM(H126:H136)</f>
        <v>2907453</v>
      </c>
    </row>
    <row r="138" spans="1:9" s="26" customFormat="1" ht="15.75" customHeight="1" x14ac:dyDescent="0.2">
      <c r="A138" s="185"/>
      <c r="B138" s="176"/>
      <c r="C138" s="8"/>
      <c r="D138" s="8"/>
      <c r="F138" s="28"/>
      <c r="G138" s="28"/>
      <c r="H138" s="28"/>
    </row>
    <row r="139" spans="1:9" s="26" customFormat="1" ht="48" customHeight="1" x14ac:dyDescent="0.2">
      <c r="A139" s="185"/>
      <c r="B139" s="565" t="s">
        <v>299</v>
      </c>
      <c r="C139" s="565"/>
      <c r="D139" s="565"/>
      <c r="E139" s="565"/>
      <c r="F139" s="565"/>
      <c r="G139" s="565"/>
      <c r="H139" s="565"/>
      <c r="I139" s="565"/>
    </row>
    <row r="140" spans="1:9" s="26" customFormat="1" ht="15.75" customHeight="1" x14ac:dyDescent="0.2">
      <c r="A140" s="185"/>
      <c r="B140" s="176"/>
      <c r="C140" s="8"/>
      <c r="D140" s="8"/>
      <c r="F140" s="28"/>
      <c r="G140" s="28"/>
      <c r="H140" s="28"/>
    </row>
    <row r="141" spans="1:9" s="26" customFormat="1" ht="15.75" customHeight="1" x14ac:dyDescent="0.2">
      <c r="A141" s="185"/>
      <c r="B141" s="176"/>
      <c r="C141" s="8"/>
      <c r="D141" s="8"/>
      <c r="F141" s="28"/>
      <c r="G141" s="28"/>
      <c r="H141" s="28"/>
    </row>
    <row r="142" spans="1:9" s="26" customFormat="1" ht="15.75" customHeight="1" x14ac:dyDescent="0.2">
      <c r="A142" s="185"/>
      <c r="B142" s="176"/>
      <c r="C142" s="8"/>
      <c r="D142" s="8"/>
      <c r="F142" s="28"/>
      <c r="G142" s="28"/>
      <c r="H142" s="28"/>
      <c r="I142" s="48"/>
    </row>
    <row r="143" spans="1:9" s="26" customFormat="1" ht="15.75" customHeight="1" x14ac:dyDescent="0.2">
      <c r="A143" s="184">
        <f>A121+1</f>
        <v>11</v>
      </c>
      <c r="B143" s="178" t="s">
        <v>807</v>
      </c>
      <c r="E143" s="15"/>
      <c r="F143" s="157"/>
      <c r="G143" s="238"/>
      <c r="H143" s="170"/>
    </row>
    <row r="144" spans="1:9" s="53" customFormat="1" ht="15.75" customHeight="1" x14ac:dyDescent="0.2">
      <c r="A144" s="191"/>
      <c r="B144" s="82"/>
      <c r="C144" s="8"/>
      <c r="D144" s="8"/>
      <c r="F144" s="156">
        <f>'Comprehensive Income'!$C$5</f>
        <v>2018</v>
      </c>
      <c r="G144" s="156">
        <f>'Comprehensive Income'!$D$5</f>
        <v>2018</v>
      </c>
      <c r="H144" s="156">
        <f>'Comprehensive Income'!$E$5</f>
        <v>2017</v>
      </c>
    </row>
    <row r="145" spans="1:15" ht="15.75" customHeight="1" x14ac:dyDescent="0.2">
      <c r="B145" s="82"/>
      <c r="F145" s="161" t="s">
        <v>800</v>
      </c>
      <c r="G145" s="157" t="s">
        <v>801</v>
      </c>
      <c r="H145" s="157" t="s">
        <v>800</v>
      </c>
    </row>
    <row r="146" spans="1:15" ht="15.75" customHeight="1" x14ac:dyDescent="0.2">
      <c r="B146" s="82"/>
      <c r="F146" s="161"/>
      <c r="G146" s="171" t="s">
        <v>366</v>
      </c>
      <c r="H146" s="157"/>
    </row>
    <row r="147" spans="1:15" ht="15.75" customHeight="1" x14ac:dyDescent="0.2">
      <c r="B147" s="82"/>
      <c r="C147" s="26"/>
      <c r="D147" s="26"/>
      <c r="F147" s="161" t="s">
        <v>799</v>
      </c>
      <c r="G147" s="157" t="s">
        <v>799</v>
      </c>
      <c r="H147" s="157" t="s">
        <v>799</v>
      </c>
    </row>
    <row r="148" spans="1:15" ht="15.75" customHeight="1" x14ac:dyDescent="0.2">
      <c r="B148" s="176" t="s">
        <v>993</v>
      </c>
      <c r="F148" s="28">
        <v>67699</v>
      </c>
      <c r="G148" s="28">
        <f>+H148</f>
        <v>65799</v>
      </c>
      <c r="H148" s="28">
        <v>65799</v>
      </c>
      <c r="J148" s="358"/>
    </row>
    <row r="149" spans="1:15" ht="15.75" customHeight="1" x14ac:dyDescent="0.2">
      <c r="B149" s="176" t="s">
        <v>982</v>
      </c>
      <c r="F149" s="28">
        <v>202220</v>
      </c>
      <c r="G149" s="28">
        <f>381000-G148-G150-G152</f>
        <v>214475</v>
      </c>
      <c r="H149" s="28">
        <v>189792</v>
      </c>
      <c r="I149" s="9"/>
      <c r="J149" s="358"/>
    </row>
    <row r="150" spans="1:15" s="26" customFormat="1" ht="15.75" customHeight="1" x14ac:dyDescent="0.2">
      <c r="A150" s="185"/>
      <c r="B150" s="176" t="s">
        <v>829</v>
      </c>
      <c r="C150" s="8"/>
      <c r="D150" s="8"/>
      <c r="F150" s="28">
        <v>106327</v>
      </c>
      <c r="G150" s="28">
        <f>+H150</f>
        <v>95826</v>
      </c>
      <c r="H150" s="28">
        <v>95826</v>
      </c>
      <c r="J150" s="358"/>
    </row>
    <row r="151" spans="1:15" s="26" customFormat="1" ht="15.75" customHeight="1" x14ac:dyDescent="0.2">
      <c r="A151" s="185"/>
      <c r="B151" s="176" t="s">
        <v>836</v>
      </c>
      <c r="C151" s="8"/>
      <c r="D151" s="8"/>
      <c r="F151" s="28">
        <v>62436</v>
      </c>
      <c r="G151" s="202">
        <v>0</v>
      </c>
      <c r="H151" s="202">
        <v>39592</v>
      </c>
      <c r="J151" s="358"/>
    </row>
    <row r="152" spans="1:15" s="26" customFormat="1" ht="15.75" customHeight="1" x14ac:dyDescent="0.2">
      <c r="A152" s="185"/>
      <c r="B152" s="175" t="s">
        <v>989</v>
      </c>
      <c r="C152" s="8"/>
      <c r="D152" s="8"/>
      <c r="F152" s="28">
        <v>4900</v>
      </c>
      <c r="G152" s="28">
        <f>+H152</f>
        <v>4900</v>
      </c>
      <c r="H152" s="28">
        <v>4900</v>
      </c>
      <c r="I152" s="48"/>
      <c r="J152" s="358"/>
    </row>
    <row r="153" spans="1:15" ht="15.75" customHeight="1" x14ac:dyDescent="0.2">
      <c r="D153" s="9"/>
      <c r="F153" s="76">
        <f>SUM(F148:F152)</f>
        <v>443582</v>
      </c>
      <c r="G153" s="76">
        <f>+'Comprehensive Income'!D22</f>
        <v>381000</v>
      </c>
      <c r="H153" s="76">
        <f>SUM(H148:H152)</f>
        <v>395909</v>
      </c>
    </row>
    <row r="154" spans="1:15" s="53" customFormat="1" ht="15.75" customHeight="1" x14ac:dyDescent="0.2">
      <c r="A154" s="191"/>
      <c r="B154" s="176"/>
      <c r="C154" s="8"/>
      <c r="D154" s="8"/>
      <c r="E154" s="8"/>
      <c r="F154" s="215"/>
      <c r="G154" s="29"/>
      <c r="H154" s="29"/>
    </row>
    <row r="155" spans="1:15" ht="15.75" customHeight="1" x14ac:dyDescent="0.2">
      <c r="A155" s="184">
        <f>A143+1</f>
        <v>12</v>
      </c>
      <c r="B155" s="178" t="s">
        <v>855</v>
      </c>
      <c r="C155" s="26"/>
      <c r="D155" s="26"/>
      <c r="E155" s="16"/>
      <c r="F155" s="155"/>
      <c r="G155" s="155"/>
      <c r="H155" s="172"/>
    </row>
    <row r="156" spans="1:15" ht="15.75" customHeight="1" x14ac:dyDescent="0.2">
      <c r="B156" s="82"/>
      <c r="E156" s="53"/>
      <c r="F156" s="156">
        <f>'Comprehensive Income'!$C$5</f>
        <v>2018</v>
      </c>
      <c r="G156" s="156">
        <f>'Comprehensive Income'!$D$5</f>
        <v>2018</v>
      </c>
      <c r="H156" s="156">
        <f>'Comprehensive Income'!$E$5</f>
        <v>2017</v>
      </c>
    </row>
    <row r="157" spans="1:15" ht="15.75" customHeight="1" x14ac:dyDescent="0.2">
      <c r="B157" s="82"/>
      <c r="F157" s="161" t="s">
        <v>800</v>
      </c>
      <c r="G157" s="157" t="s">
        <v>801</v>
      </c>
      <c r="H157" s="157" t="s">
        <v>800</v>
      </c>
      <c r="O157" s="8" t="s">
        <v>1014</v>
      </c>
    </row>
    <row r="158" spans="1:15" ht="15.75" customHeight="1" x14ac:dyDescent="0.2">
      <c r="B158" s="82"/>
      <c r="F158" s="161"/>
      <c r="G158" s="171" t="s">
        <v>366</v>
      </c>
      <c r="H158" s="157"/>
    </row>
    <row r="159" spans="1:15" ht="15.75" customHeight="1" x14ac:dyDescent="0.2">
      <c r="B159" s="181"/>
      <c r="C159" s="11"/>
      <c r="F159" s="161" t="s">
        <v>799</v>
      </c>
      <c r="G159" s="157" t="s">
        <v>799</v>
      </c>
      <c r="H159" s="157" t="s">
        <v>799</v>
      </c>
      <c r="I159" s="236"/>
      <c r="J159" s="9"/>
      <c r="K159" s="9"/>
      <c r="M159" s="26" t="s">
        <v>1014</v>
      </c>
    </row>
    <row r="160" spans="1:15" ht="15.75" customHeight="1" x14ac:dyDescent="0.2">
      <c r="B160" s="175" t="s">
        <v>837</v>
      </c>
      <c r="C160" s="11"/>
      <c r="F160" s="28">
        <f>+'Codes allocation'!D929</f>
        <v>1913</v>
      </c>
      <c r="G160" s="28">
        <f>+'Codes allocation'!F929</f>
        <v>1913</v>
      </c>
      <c r="H160" s="28">
        <f>+'Codes allocation'!H929</f>
        <v>1913</v>
      </c>
      <c r="I160" s="236"/>
      <c r="J160" s="358"/>
      <c r="M160" s="26" t="s">
        <v>1014</v>
      </c>
    </row>
    <row r="161" spans="1:14" ht="15.75" customHeight="1" x14ac:dyDescent="0.2">
      <c r="B161" s="175" t="s">
        <v>244</v>
      </c>
      <c r="F161" s="28">
        <f>+'Codes allocation'!D926</f>
        <v>749090</v>
      </c>
      <c r="G161" s="28">
        <f>+'Codes allocation'!F926</f>
        <v>501483</v>
      </c>
      <c r="H161" s="28">
        <f>+'Codes allocation'!H926</f>
        <v>548127</v>
      </c>
      <c r="I161" s="236"/>
      <c r="J161" s="358"/>
    </row>
    <row r="162" spans="1:14" ht="15.75" customHeight="1" x14ac:dyDescent="0.2">
      <c r="B162" s="176" t="s">
        <v>245</v>
      </c>
      <c r="D162" s="9"/>
      <c r="F162" s="28">
        <f>+'Codes allocation'!D927</f>
        <v>837744</v>
      </c>
      <c r="G162" s="28">
        <f>+'Codes allocation'!F927</f>
        <v>1097281</v>
      </c>
      <c r="H162" s="28">
        <f>+'Codes allocation'!H927</f>
        <v>1097281</v>
      </c>
      <c r="I162" s="236"/>
      <c r="J162" s="358"/>
      <c r="L162" s="9"/>
      <c r="M162" s="9"/>
      <c r="N162" s="9"/>
    </row>
    <row r="163" spans="1:14" ht="15.75" customHeight="1" x14ac:dyDescent="0.2">
      <c r="B163" s="176" t="s">
        <v>246</v>
      </c>
      <c r="D163" s="9"/>
      <c r="F163" s="252">
        <v>5542726</v>
      </c>
      <c r="G163" s="537" t="s">
        <v>818</v>
      </c>
      <c r="H163" s="360">
        <v>1076199</v>
      </c>
      <c r="I163" s="236"/>
      <c r="J163" s="358"/>
      <c r="K163" s="9"/>
      <c r="L163" s="9"/>
      <c r="M163" s="9"/>
      <c r="N163" s="9"/>
    </row>
    <row r="164" spans="1:14" ht="15.75" customHeight="1" thickBot="1" x14ac:dyDescent="0.25">
      <c r="B164" s="176" t="s">
        <v>247</v>
      </c>
      <c r="F164" s="321">
        <f>SUM(F160:F163)</f>
        <v>7131473</v>
      </c>
      <c r="G164" s="431">
        <f>SUM(G160:G163)</f>
        <v>1600677</v>
      </c>
      <c r="H164" s="321">
        <f>SUM(H160:H163)</f>
        <v>2723520</v>
      </c>
      <c r="I164" s="9"/>
      <c r="J164" s="9"/>
      <c r="K164" s="9"/>
    </row>
    <row r="165" spans="1:14" ht="15.75" customHeight="1" thickTop="1" x14ac:dyDescent="0.2">
      <c r="F165" s="28"/>
      <c r="G165" s="28"/>
      <c r="H165" s="28"/>
      <c r="I165" s="55"/>
      <c r="J165" s="9"/>
      <c r="K165" s="9"/>
    </row>
    <row r="166" spans="1:14" ht="15.75" customHeight="1" x14ac:dyDescent="0.2">
      <c r="B166" s="176" t="s">
        <v>248</v>
      </c>
      <c r="F166" s="28"/>
      <c r="G166" s="28"/>
      <c r="H166" s="28"/>
      <c r="I166" s="55"/>
      <c r="J166" s="9"/>
      <c r="K166" s="9"/>
    </row>
    <row r="167" spans="1:14" ht="15.75" customHeight="1" x14ac:dyDescent="0.2">
      <c r="F167" s="28"/>
      <c r="G167" s="28"/>
      <c r="H167" s="28"/>
      <c r="I167" s="55"/>
      <c r="J167" s="9"/>
      <c r="K167" s="9"/>
    </row>
    <row r="168" spans="1:14" ht="30.75" customHeight="1" x14ac:dyDescent="0.2">
      <c r="B168" s="573" t="s">
        <v>1368</v>
      </c>
      <c r="C168" s="573"/>
      <c r="D168" s="573"/>
      <c r="E168" s="573"/>
      <c r="F168" s="573"/>
      <c r="G168" s="573"/>
      <c r="H168" s="573"/>
      <c r="I168" s="55"/>
      <c r="J168" s="9"/>
      <c r="K168" s="9"/>
    </row>
    <row r="169" spans="1:14" ht="15.75" customHeight="1" x14ac:dyDescent="0.2">
      <c r="B169" s="203"/>
      <c r="C169" s="203"/>
      <c r="D169" s="203"/>
      <c r="E169" s="203"/>
      <c r="F169" s="203"/>
      <c r="G169" s="203"/>
      <c r="H169" s="203"/>
      <c r="J169" s="11"/>
    </row>
    <row r="170" spans="1:14" ht="15.75" customHeight="1" x14ac:dyDescent="0.25">
      <c r="A170" s="184">
        <f>A155+1</f>
        <v>13</v>
      </c>
      <c r="B170" s="182" t="s">
        <v>847</v>
      </c>
      <c r="E170" s="12"/>
      <c r="F170" s="28"/>
      <c r="G170" s="28"/>
      <c r="H170" s="29"/>
    </row>
    <row r="171" spans="1:14" ht="15.75" customHeight="1" x14ac:dyDescent="0.2">
      <c r="B171" s="82"/>
      <c r="F171" s="156">
        <f>'Comprehensive Income'!$C$5</f>
        <v>2018</v>
      </c>
      <c r="G171" s="156">
        <f>'Comprehensive Income'!$D$5</f>
        <v>2018</v>
      </c>
      <c r="H171" s="156">
        <f>'Comprehensive Income'!$E$5</f>
        <v>2017</v>
      </c>
    </row>
    <row r="172" spans="1:14" ht="15.75" customHeight="1" x14ac:dyDescent="0.2">
      <c r="B172" s="82"/>
      <c r="F172" s="161" t="s">
        <v>800</v>
      </c>
      <c r="G172" s="157" t="s">
        <v>801</v>
      </c>
      <c r="H172" s="157" t="s">
        <v>800</v>
      </c>
      <c r="I172" s="9"/>
    </row>
    <row r="173" spans="1:14" ht="15.75" customHeight="1" x14ac:dyDescent="0.2">
      <c r="B173" s="82"/>
      <c r="F173" s="161"/>
      <c r="G173" s="171" t="s">
        <v>366</v>
      </c>
      <c r="H173" s="157"/>
      <c r="I173" s="9"/>
    </row>
    <row r="174" spans="1:14" ht="15.75" customHeight="1" x14ac:dyDescent="0.2">
      <c r="B174" s="181"/>
      <c r="C174" s="11"/>
      <c r="F174" s="161" t="s">
        <v>799</v>
      </c>
      <c r="G174" s="157" t="s">
        <v>799</v>
      </c>
      <c r="H174" s="157" t="s">
        <v>799</v>
      </c>
    </row>
    <row r="175" spans="1:14" ht="15.75" customHeight="1" x14ac:dyDescent="0.2">
      <c r="B175" s="175" t="s">
        <v>815</v>
      </c>
      <c r="C175" s="11"/>
      <c r="D175" s="56"/>
      <c r="E175" s="9"/>
      <c r="F175" s="54">
        <f>+'Codes allocation'!D954</f>
        <v>87955</v>
      </c>
      <c r="G175" s="54">
        <f>+'Codes allocation'!F954</f>
        <v>10517</v>
      </c>
      <c r="H175" s="54">
        <f>'Codes allocation'!H954</f>
        <v>10516</v>
      </c>
      <c r="I175" s="9"/>
      <c r="J175" s="359"/>
      <c r="K175" s="12"/>
      <c r="L175" s="75"/>
    </row>
    <row r="176" spans="1:14" ht="15.75" customHeight="1" x14ac:dyDescent="0.2">
      <c r="B176" s="154" t="s">
        <v>1226</v>
      </c>
      <c r="C176" s="11"/>
      <c r="D176" s="56"/>
      <c r="E176" s="9"/>
      <c r="F176" s="54">
        <f>+'Codes allocation'!D955</f>
        <v>46922</v>
      </c>
      <c r="G176" s="54">
        <f>+'Codes allocation'!F955</f>
        <v>48616</v>
      </c>
      <c r="H176" s="54">
        <f>+'Codes allocation'!H955</f>
        <v>48616</v>
      </c>
      <c r="I176" s="9"/>
      <c r="J176" s="12"/>
      <c r="K176" s="12"/>
      <c r="L176" s="75"/>
    </row>
    <row r="177" spans="1:12" ht="15.75" customHeight="1" x14ac:dyDescent="0.2">
      <c r="B177" s="175" t="s">
        <v>249</v>
      </c>
      <c r="C177" s="11"/>
      <c r="D177" s="56"/>
      <c r="E177" s="9"/>
      <c r="F177" s="54">
        <f>+'Codes allocation'!D957</f>
        <v>38309</v>
      </c>
      <c r="G177" s="54">
        <f>+'Codes allocation'!F957</f>
        <v>48777</v>
      </c>
      <c r="H177" s="54">
        <f>+'Codes allocation'!H957</f>
        <v>48777</v>
      </c>
      <c r="I177" s="9"/>
      <c r="J177" s="12"/>
      <c r="K177" s="12"/>
      <c r="L177" s="75"/>
    </row>
    <row r="178" spans="1:12" ht="15.75" customHeight="1" x14ac:dyDescent="0.2">
      <c r="B178" s="175" t="s">
        <v>1021</v>
      </c>
      <c r="C178" s="11"/>
      <c r="D178" s="56"/>
      <c r="E178" s="9"/>
      <c r="F178" s="54">
        <f>+'Codes allocation'!C958</f>
        <v>458826.92</v>
      </c>
      <c r="G178" s="54">
        <f>+'Codes allocation'!F958</f>
        <v>249776</v>
      </c>
      <c r="H178" s="54">
        <f>+'Codes allocation'!H958</f>
        <v>249776</v>
      </c>
      <c r="I178" s="9"/>
      <c r="J178" s="359"/>
      <c r="K178" s="12"/>
      <c r="L178" s="75"/>
    </row>
    <row r="179" spans="1:12" ht="15.75" customHeight="1" x14ac:dyDescent="0.2">
      <c r="B179" s="175" t="s">
        <v>838</v>
      </c>
      <c r="E179" s="239"/>
      <c r="F179" s="46">
        <f>+'Codes allocation'!D956</f>
        <v>680242</v>
      </c>
      <c r="G179" s="46">
        <f>+'Codes allocation'!F956</f>
        <v>625600</v>
      </c>
      <c r="H179" s="46">
        <f>+'Codes allocation'!H956</f>
        <v>625600</v>
      </c>
      <c r="I179" s="11"/>
    </row>
    <row r="180" spans="1:12" ht="15.75" customHeight="1" thickBot="1" x14ac:dyDescent="0.25">
      <c r="F180" s="321">
        <f>SUM(F175:F179)</f>
        <v>1312254.92</v>
      </c>
      <c r="G180" s="321">
        <f>SUM(G175:G179)</f>
        <v>983286</v>
      </c>
      <c r="H180" s="321">
        <f>SUM(H175:H179)+1</f>
        <v>983286</v>
      </c>
    </row>
    <row r="181" spans="1:12" ht="15.75" customHeight="1" thickTop="1" x14ac:dyDescent="0.2">
      <c r="F181" s="60"/>
      <c r="G181" s="60"/>
      <c r="H181" s="60"/>
    </row>
    <row r="182" spans="1:12" ht="15.75" customHeight="1" x14ac:dyDescent="0.2">
      <c r="B182" s="176" t="s">
        <v>250</v>
      </c>
      <c r="F182" s="60">
        <f>+F177</f>
        <v>38309</v>
      </c>
      <c r="G182" s="60">
        <f>+G177</f>
        <v>48777</v>
      </c>
      <c r="H182" s="60">
        <f>+H177</f>
        <v>48777</v>
      </c>
    </row>
    <row r="183" spans="1:12" ht="15.75" customHeight="1" x14ac:dyDescent="0.2">
      <c r="B183" s="176" t="s">
        <v>251</v>
      </c>
      <c r="F183" s="60">
        <f>+F180-F177</f>
        <v>1273945.92</v>
      </c>
      <c r="G183" s="60">
        <f>+G180-G177</f>
        <v>934509</v>
      </c>
      <c r="H183" s="60">
        <v>934509</v>
      </c>
    </row>
    <row r="184" spans="1:12" ht="15.75" customHeight="1" thickBot="1" x14ac:dyDescent="0.25">
      <c r="F184" s="320">
        <f>SUM(F182:F183)</f>
        <v>1312254.92</v>
      </c>
      <c r="G184" s="320">
        <f>SUM(G182:G183)</f>
        <v>983286</v>
      </c>
      <c r="H184" s="320">
        <f>H180</f>
        <v>983286</v>
      </c>
    </row>
    <row r="185" spans="1:12" ht="15.75" customHeight="1" thickTop="1" x14ac:dyDescent="0.2">
      <c r="F185" s="60"/>
      <c r="G185" s="60"/>
      <c r="H185" s="60"/>
    </row>
    <row r="186" spans="1:12" ht="15.75" customHeight="1" x14ac:dyDescent="0.2">
      <c r="F186" s="60"/>
      <c r="G186" s="60"/>
      <c r="H186" s="60"/>
    </row>
    <row r="187" spans="1:12" ht="15.75" customHeight="1" x14ac:dyDescent="0.25">
      <c r="A187" s="184">
        <f>+A170+1</f>
        <v>14</v>
      </c>
      <c r="B187" s="182" t="s">
        <v>809</v>
      </c>
      <c r="F187" s="60"/>
      <c r="G187" s="60"/>
      <c r="H187" s="60"/>
    </row>
    <row r="188" spans="1:12" ht="15.75" customHeight="1" x14ac:dyDescent="0.2">
      <c r="F188" s="156">
        <f>'Comprehensive Income'!$C$5</f>
        <v>2018</v>
      </c>
      <c r="G188" s="156">
        <f>'Comprehensive Income'!$D$5</f>
        <v>2018</v>
      </c>
      <c r="H188" s="156">
        <f>'Comprehensive Income'!$E$5</f>
        <v>2017</v>
      </c>
    </row>
    <row r="189" spans="1:12" ht="15.75" customHeight="1" x14ac:dyDescent="0.2">
      <c r="F189" s="161" t="s">
        <v>800</v>
      </c>
      <c r="G189" s="157" t="s">
        <v>801</v>
      </c>
      <c r="H189" s="157" t="s">
        <v>800</v>
      </c>
    </row>
    <row r="190" spans="1:12" ht="15.75" customHeight="1" x14ac:dyDescent="0.2">
      <c r="F190" s="161"/>
      <c r="G190" s="171" t="s">
        <v>366</v>
      </c>
      <c r="H190" s="157"/>
    </row>
    <row r="191" spans="1:12" ht="15.75" customHeight="1" x14ac:dyDescent="0.2">
      <c r="F191" s="161" t="s">
        <v>799</v>
      </c>
      <c r="G191" s="157" t="s">
        <v>799</v>
      </c>
      <c r="H191" s="157" t="s">
        <v>799</v>
      </c>
    </row>
    <row r="192" spans="1:12" ht="15.75" customHeight="1" x14ac:dyDescent="0.2">
      <c r="B192" s="176" t="s">
        <v>976</v>
      </c>
      <c r="F192" s="60">
        <f>+'Codes allocation'!D967</f>
        <v>2008</v>
      </c>
      <c r="G192" s="60">
        <f>+'Codes allocation'!F967</f>
        <v>3143</v>
      </c>
      <c r="H192" s="60">
        <f>+'Codes allocation'!H967</f>
        <v>3143</v>
      </c>
    </row>
    <row r="193" spans="1:10" ht="15.75" customHeight="1" x14ac:dyDescent="0.2">
      <c r="F193" s="60"/>
      <c r="G193" s="60"/>
      <c r="H193" s="60"/>
    </row>
    <row r="194" spans="1:10" ht="15.75" customHeight="1" x14ac:dyDescent="0.2">
      <c r="F194" s="60"/>
      <c r="G194" s="60"/>
      <c r="H194" s="60"/>
    </row>
    <row r="195" spans="1:10" ht="15.75" customHeight="1" x14ac:dyDescent="0.2">
      <c r="F195" s="60"/>
      <c r="G195" s="60"/>
      <c r="H195" s="60"/>
    </row>
    <row r="196" spans="1:10" ht="15.75" customHeight="1" x14ac:dyDescent="0.25">
      <c r="A196" s="184">
        <f>+A187+1</f>
        <v>15</v>
      </c>
      <c r="B196" s="182" t="s">
        <v>983</v>
      </c>
      <c r="E196" s="12"/>
      <c r="F196" s="28"/>
      <c r="G196" s="28"/>
      <c r="H196" s="29"/>
    </row>
    <row r="197" spans="1:10" ht="15.75" customHeight="1" x14ac:dyDescent="0.2">
      <c r="B197" s="176" t="s">
        <v>252</v>
      </c>
      <c r="E197" s="12"/>
      <c r="F197" s="156">
        <f>'Comprehensive Income'!$C$5</f>
        <v>2018</v>
      </c>
      <c r="G197" s="156">
        <f>'Comprehensive Income'!$D$5</f>
        <v>2018</v>
      </c>
      <c r="H197" s="156">
        <f>'Comprehensive Income'!$E$5</f>
        <v>2017</v>
      </c>
    </row>
    <row r="198" spans="1:10" ht="15.75" customHeight="1" x14ac:dyDescent="0.2">
      <c r="E198" s="12"/>
      <c r="F198" s="161" t="s">
        <v>800</v>
      </c>
      <c r="G198" s="157" t="s">
        <v>801</v>
      </c>
      <c r="H198" s="157" t="s">
        <v>800</v>
      </c>
    </row>
    <row r="199" spans="1:10" ht="15.75" customHeight="1" x14ac:dyDescent="0.2">
      <c r="E199" s="12"/>
      <c r="F199" s="161"/>
      <c r="G199" s="171" t="s">
        <v>366</v>
      </c>
      <c r="H199" s="157"/>
    </row>
    <row r="200" spans="1:10" ht="15.75" customHeight="1" x14ac:dyDescent="0.2">
      <c r="B200" s="176" t="s">
        <v>820</v>
      </c>
      <c r="E200" s="12"/>
      <c r="F200" s="157" t="s">
        <v>799</v>
      </c>
      <c r="G200" s="157" t="s">
        <v>799</v>
      </c>
      <c r="H200" s="157" t="s">
        <v>799</v>
      </c>
    </row>
    <row r="201" spans="1:10" ht="15.75" customHeight="1" x14ac:dyDescent="0.2">
      <c r="A201" s="186"/>
      <c r="B201" s="154" t="s">
        <v>253</v>
      </c>
      <c r="C201" s="26"/>
      <c r="D201" s="40"/>
      <c r="F201" s="455">
        <v>2626043</v>
      </c>
      <c r="G201" s="455">
        <v>6101371</v>
      </c>
      <c r="H201" s="455">
        <v>6101371</v>
      </c>
      <c r="I201" s="59"/>
      <c r="J201" s="358"/>
    </row>
    <row r="202" spans="1:10" ht="15.75" customHeight="1" x14ac:dyDescent="0.2">
      <c r="B202" s="176" t="s">
        <v>254</v>
      </c>
      <c r="D202" s="40"/>
      <c r="F202" s="456"/>
      <c r="G202" s="60"/>
      <c r="H202" s="79"/>
    </row>
    <row r="203" spans="1:10" ht="15.75" customHeight="1" x14ac:dyDescent="0.2">
      <c r="D203" s="40"/>
      <c r="F203" s="456"/>
      <c r="G203" s="60"/>
      <c r="H203" s="79"/>
    </row>
    <row r="204" spans="1:10" ht="15.75" customHeight="1" x14ac:dyDescent="0.2">
      <c r="B204" s="176" t="s">
        <v>255</v>
      </c>
      <c r="D204" s="40"/>
      <c r="F204" s="456"/>
      <c r="G204" s="60"/>
      <c r="H204" s="79"/>
    </row>
    <row r="205" spans="1:10" ht="15.75" customHeight="1" x14ac:dyDescent="0.2">
      <c r="B205" s="176" t="s">
        <v>256</v>
      </c>
      <c r="D205" s="40"/>
      <c r="F205" s="456">
        <v>0</v>
      </c>
      <c r="G205" s="60">
        <v>0</v>
      </c>
      <c r="H205" s="60">
        <v>0</v>
      </c>
      <c r="J205" s="358"/>
    </row>
    <row r="206" spans="1:10" ht="15.75" customHeight="1" x14ac:dyDescent="0.2">
      <c r="D206" s="40"/>
      <c r="F206" s="456"/>
      <c r="G206" s="60"/>
      <c r="H206" s="79"/>
    </row>
    <row r="207" spans="1:10" ht="15.75" customHeight="1" x14ac:dyDescent="0.2">
      <c r="D207" s="40"/>
      <c r="F207" s="456"/>
      <c r="G207" s="60"/>
      <c r="H207" s="79"/>
    </row>
    <row r="208" spans="1:10" ht="15.75" customHeight="1" x14ac:dyDescent="0.2">
      <c r="B208" s="154" t="s">
        <v>1358</v>
      </c>
      <c r="D208" s="40"/>
      <c r="F208" s="456"/>
      <c r="G208" s="60"/>
      <c r="H208" s="79"/>
    </row>
    <row r="209" spans="1:15" ht="15.75" customHeight="1" x14ac:dyDescent="0.2">
      <c r="D209" s="40"/>
      <c r="F209" s="456"/>
      <c r="G209" s="60"/>
      <c r="H209" s="79"/>
    </row>
    <row r="210" spans="1:15" s="53" customFormat="1" ht="15.75" customHeight="1" x14ac:dyDescent="0.2">
      <c r="A210" s="184">
        <f>A196+1</f>
        <v>16</v>
      </c>
      <c r="B210" s="178" t="s">
        <v>856</v>
      </c>
      <c r="C210" s="16"/>
      <c r="D210" s="57"/>
      <c r="E210" s="57"/>
      <c r="F210" s="156"/>
      <c r="G210" s="156"/>
      <c r="H210" s="156"/>
      <c r="J210" s="358"/>
    </row>
    <row r="211" spans="1:15" ht="43.5" customHeight="1" x14ac:dyDescent="0.2">
      <c r="B211" s="154"/>
      <c r="C211" s="53"/>
      <c r="D211" s="58" t="s">
        <v>257</v>
      </c>
      <c r="E211" s="62" t="s">
        <v>258</v>
      </c>
      <c r="F211" s="323" t="s">
        <v>259</v>
      </c>
      <c r="G211" s="323" t="s">
        <v>260</v>
      </c>
      <c r="H211" s="324" t="s">
        <v>807</v>
      </c>
      <c r="I211" s="322" t="s">
        <v>261</v>
      </c>
    </row>
    <row r="212" spans="1:15" ht="15.75" customHeight="1" x14ac:dyDescent="0.2">
      <c r="B212" s="457">
        <f>'Comprehensive Income'!C5</f>
        <v>2018</v>
      </c>
      <c r="D212" s="62" t="s">
        <v>799</v>
      </c>
      <c r="E212" s="62" t="s">
        <v>799</v>
      </c>
      <c r="F212" s="62" t="s">
        <v>799</v>
      </c>
      <c r="G212" s="62" t="s">
        <v>799</v>
      </c>
      <c r="H212" s="62" t="s">
        <v>799</v>
      </c>
      <c r="I212" s="62" t="s">
        <v>799</v>
      </c>
    </row>
    <row r="213" spans="1:15" ht="15.75" customHeight="1" x14ac:dyDescent="0.2">
      <c r="B213" s="176" t="s">
        <v>892</v>
      </c>
      <c r="D213" s="335">
        <f>+I235</f>
        <v>1151932</v>
      </c>
      <c r="E213" s="336">
        <v>28514</v>
      </c>
      <c r="F213" s="336">
        <v>0</v>
      </c>
      <c r="G213" s="336">
        <v>0</v>
      </c>
      <c r="H213" s="429">
        <v>-67699</v>
      </c>
      <c r="I213" s="335">
        <f>+D213+E213+F213+H213</f>
        <v>1112747</v>
      </c>
    </row>
    <row r="214" spans="1:15" ht="15.75" customHeight="1" x14ac:dyDescent="0.2">
      <c r="B214" s="176" t="s">
        <v>982</v>
      </c>
      <c r="D214" s="335">
        <f>+I236</f>
        <v>1047318</v>
      </c>
      <c r="E214" s="336">
        <v>204841</v>
      </c>
      <c r="F214" s="429">
        <v>-2762</v>
      </c>
      <c r="G214" s="336">
        <v>0</v>
      </c>
      <c r="H214" s="429">
        <v>-202220</v>
      </c>
      <c r="I214" s="335">
        <f t="shared" ref="I214:I217" si="0">+D214+E214+F214+H214</f>
        <v>1047177</v>
      </c>
      <c r="J214" s="214"/>
    </row>
    <row r="215" spans="1:15" ht="15.75" customHeight="1" x14ac:dyDescent="0.2">
      <c r="B215" s="175" t="s">
        <v>829</v>
      </c>
      <c r="D215" s="335">
        <f>+I237</f>
        <v>306224</v>
      </c>
      <c r="E215" s="336">
        <v>241188</v>
      </c>
      <c r="F215" s="429">
        <v>-5435</v>
      </c>
      <c r="G215" s="336">
        <v>0</v>
      </c>
      <c r="H215" s="429">
        <v>-106327</v>
      </c>
      <c r="I215" s="335">
        <f t="shared" si="0"/>
        <v>435650</v>
      </c>
    </row>
    <row r="216" spans="1:15" ht="15.75" customHeight="1" x14ac:dyDescent="0.2">
      <c r="B216" s="154" t="s">
        <v>836</v>
      </c>
      <c r="D216" s="335">
        <f>+I238</f>
        <v>105681</v>
      </c>
      <c r="E216" s="336">
        <v>81828</v>
      </c>
      <c r="F216" s="429">
        <v>-294</v>
      </c>
      <c r="G216" s="336">
        <v>0</v>
      </c>
      <c r="H216" s="429">
        <v>-62436</v>
      </c>
      <c r="I216" s="335">
        <f t="shared" si="0"/>
        <v>124779</v>
      </c>
    </row>
    <row r="217" spans="1:15" ht="15.75" customHeight="1" x14ac:dyDescent="0.2">
      <c r="B217" s="175" t="s">
        <v>984</v>
      </c>
      <c r="D217" s="335">
        <f>+I239</f>
        <v>30506</v>
      </c>
      <c r="E217" s="336">
        <v>0</v>
      </c>
      <c r="F217" s="336">
        <v>0</v>
      </c>
      <c r="G217" s="336">
        <v>0</v>
      </c>
      <c r="H217" s="429">
        <v>-4900</v>
      </c>
      <c r="I217" s="335">
        <f t="shared" si="0"/>
        <v>25606</v>
      </c>
      <c r="J217" s="9"/>
    </row>
    <row r="218" spans="1:15" s="53" customFormat="1" ht="15.75" customHeight="1" x14ac:dyDescent="0.2">
      <c r="A218" s="191"/>
      <c r="B218" s="176"/>
      <c r="C218" s="26"/>
      <c r="D218" s="26"/>
      <c r="E218" s="325"/>
      <c r="F218" s="173"/>
      <c r="G218" s="173"/>
      <c r="H218" s="173"/>
    </row>
    <row r="219" spans="1:15" ht="15.75" customHeight="1" thickBot="1" x14ac:dyDescent="0.25">
      <c r="B219" s="154" t="s">
        <v>1359</v>
      </c>
      <c r="C219" s="53"/>
      <c r="D219" s="458">
        <f t="shared" ref="D219:I219" si="1">SUM(D213:D218)</f>
        <v>2641661</v>
      </c>
      <c r="E219" s="458">
        <f t="shared" si="1"/>
        <v>556371</v>
      </c>
      <c r="F219" s="459">
        <f t="shared" si="1"/>
        <v>-8491</v>
      </c>
      <c r="G219" s="458">
        <f t="shared" si="1"/>
        <v>0</v>
      </c>
      <c r="H219" s="459">
        <f>SUM(H213:H218)</f>
        <v>-443582</v>
      </c>
      <c r="I219" s="458">
        <f t="shared" si="1"/>
        <v>2745959</v>
      </c>
      <c r="J219" s="335"/>
    </row>
    <row r="220" spans="1:15" ht="15.75" customHeight="1" thickTop="1" x14ac:dyDescent="0.2">
      <c r="B220" s="50"/>
      <c r="C220" s="50"/>
      <c r="D220" s="50"/>
      <c r="E220" s="50"/>
      <c r="F220" s="50"/>
      <c r="H220" s="45"/>
    </row>
    <row r="221" spans="1:15" ht="15.75" customHeight="1" x14ac:dyDescent="0.2">
      <c r="B221" s="326">
        <f>+B212</f>
        <v>2018</v>
      </c>
      <c r="C221" s="18"/>
      <c r="D221" s="18"/>
      <c r="E221" s="18"/>
      <c r="F221" s="163"/>
      <c r="G221" s="163"/>
      <c r="H221" s="163"/>
      <c r="I221" s="12"/>
      <c r="K221" s="59"/>
      <c r="L221" s="59"/>
    </row>
    <row r="222" spans="1:15" ht="15.75" customHeight="1" x14ac:dyDescent="0.2">
      <c r="B222" s="327"/>
      <c r="C222" s="18"/>
      <c r="D222" s="18"/>
      <c r="E222" s="18"/>
      <c r="F222" s="173"/>
      <c r="G222" s="173"/>
      <c r="H222" s="173"/>
      <c r="I222" s="18"/>
      <c r="O222" s="26" t="s">
        <v>1014</v>
      </c>
    </row>
    <row r="223" spans="1:15" ht="27.75" customHeight="1" x14ac:dyDescent="0.2">
      <c r="B223" s="328"/>
      <c r="C223" s="18"/>
      <c r="D223" s="18"/>
      <c r="E223" s="18"/>
      <c r="F223" s="173"/>
      <c r="G223" s="324" t="s">
        <v>262</v>
      </c>
      <c r="H223" s="324" t="s">
        <v>263</v>
      </c>
      <c r="I223" s="331" t="s">
        <v>264</v>
      </c>
    </row>
    <row r="224" spans="1:15" ht="15.75" customHeight="1" x14ac:dyDescent="0.2">
      <c r="B224" s="329"/>
      <c r="C224" s="18"/>
      <c r="D224" s="18"/>
      <c r="E224" s="18"/>
      <c r="F224" s="173"/>
      <c r="G224" s="332" t="s">
        <v>799</v>
      </c>
      <c r="H224" s="332" t="s">
        <v>799</v>
      </c>
      <c r="I224" s="332" t="s">
        <v>799</v>
      </c>
    </row>
    <row r="225" spans="1:15" ht="15.75" customHeight="1" x14ac:dyDescent="0.2">
      <c r="B225" s="176" t="s">
        <v>892</v>
      </c>
      <c r="C225" s="18"/>
      <c r="D225" s="18"/>
      <c r="E225" s="18"/>
      <c r="F225" s="173"/>
      <c r="G225" s="173">
        <v>1360548</v>
      </c>
      <c r="H225" s="173">
        <f>-(+G225-I225)</f>
        <v>-247801</v>
      </c>
      <c r="I225" s="336">
        <f>+I213</f>
        <v>1112747</v>
      </c>
    </row>
    <row r="226" spans="1:15" s="36" customFormat="1" ht="15.75" customHeight="1" x14ac:dyDescent="0.2">
      <c r="A226" s="190"/>
      <c r="B226" s="176" t="s">
        <v>982</v>
      </c>
      <c r="C226" s="325"/>
      <c r="D226" s="325"/>
      <c r="E226" s="325"/>
      <c r="F226" s="60"/>
      <c r="G226" s="173">
        <v>2759532</v>
      </c>
      <c r="H226" s="173">
        <f>-(+G226-I226)</f>
        <v>-1712355</v>
      </c>
      <c r="I226" s="336">
        <f t="shared" ref="I226:I229" si="2">+I214</f>
        <v>1047177</v>
      </c>
    </row>
    <row r="227" spans="1:15" s="36" customFormat="1" ht="15.75" customHeight="1" x14ac:dyDescent="0.2">
      <c r="A227" s="190"/>
      <c r="B227" s="175" t="s">
        <v>829</v>
      </c>
      <c r="C227" s="325"/>
      <c r="D227" s="325"/>
      <c r="E227" s="12"/>
      <c r="F227" s="60"/>
      <c r="G227" s="173">
        <v>854905</v>
      </c>
      <c r="H227" s="173">
        <f>-(+G227-I227)</f>
        <v>-419255</v>
      </c>
      <c r="I227" s="336">
        <f t="shared" si="2"/>
        <v>435650</v>
      </c>
    </row>
    <row r="228" spans="1:15" s="36" customFormat="1" ht="15.75" customHeight="1" x14ac:dyDescent="0.2">
      <c r="A228" s="190"/>
      <c r="B228" s="154" t="s">
        <v>1033</v>
      </c>
      <c r="C228" s="325"/>
      <c r="D228" s="325"/>
      <c r="E228" s="12"/>
      <c r="F228" s="60"/>
      <c r="G228" s="173">
        <v>239025</v>
      </c>
      <c r="H228" s="173">
        <f>-(+G228-I228)</f>
        <v>-114246</v>
      </c>
      <c r="I228" s="336">
        <f t="shared" si="2"/>
        <v>124779</v>
      </c>
    </row>
    <row r="229" spans="1:15" s="78" customFormat="1" ht="15.75" customHeight="1" x14ac:dyDescent="0.25">
      <c r="A229" s="192"/>
      <c r="B229" s="175" t="s">
        <v>984</v>
      </c>
      <c r="C229" s="460"/>
      <c r="D229" s="460"/>
      <c r="E229" s="460"/>
      <c r="F229" s="461"/>
      <c r="G229" s="173">
        <v>68873</v>
      </c>
      <c r="H229" s="173">
        <f>-(+G229-I229)</f>
        <v>-43267</v>
      </c>
      <c r="I229" s="336">
        <f t="shared" si="2"/>
        <v>25606</v>
      </c>
    </row>
    <row r="230" spans="1:15" s="78" customFormat="1" ht="15.75" customHeight="1" x14ac:dyDescent="0.25">
      <c r="A230" s="192"/>
      <c r="B230" s="462"/>
      <c r="C230" s="460"/>
      <c r="D230" s="460"/>
      <c r="E230" s="460"/>
      <c r="F230" s="461"/>
      <c r="G230" s="461"/>
      <c r="H230" s="461"/>
      <c r="I230" s="463"/>
    </row>
    <row r="231" spans="1:15" customFormat="1" ht="15.75" customHeight="1" thickBot="1" x14ac:dyDescent="0.25">
      <c r="A231" s="189"/>
      <c r="B231" s="154" t="s">
        <v>1359</v>
      </c>
      <c r="C231" s="66"/>
      <c r="D231" s="66"/>
      <c r="E231" s="66"/>
      <c r="F231" s="169"/>
      <c r="G231" s="464">
        <f>SUM(G225:G230)</f>
        <v>5282883</v>
      </c>
      <c r="H231" s="464">
        <f>SUM(H225:H230)</f>
        <v>-2536924</v>
      </c>
      <c r="I231" s="464">
        <f>SUM(I225:I230)</f>
        <v>2745959</v>
      </c>
    </row>
    <row r="232" spans="1:15" customFormat="1" ht="15.75" customHeight="1" thickTop="1" x14ac:dyDescent="0.2">
      <c r="A232" s="189"/>
      <c r="B232" s="330"/>
      <c r="C232" s="39"/>
      <c r="D232" s="39"/>
      <c r="E232" s="39"/>
      <c r="F232" s="169"/>
      <c r="G232" s="145"/>
      <c r="H232" s="145"/>
      <c r="I232" s="19"/>
      <c r="J232" s="7"/>
    </row>
    <row r="233" spans="1:15" customFormat="1" ht="38.25" customHeight="1" x14ac:dyDescent="0.2">
      <c r="A233" s="187"/>
      <c r="B233" s="154"/>
      <c r="C233" s="53"/>
      <c r="D233" s="58" t="s">
        <v>257</v>
      </c>
      <c r="E233" s="62" t="s">
        <v>258</v>
      </c>
      <c r="F233" s="323" t="s">
        <v>259</v>
      </c>
      <c r="G233" s="323" t="s">
        <v>260</v>
      </c>
      <c r="H233" s="324" t="s">
        <v>807</v>
      </c>
      <c r="I233" s="322" t="s">
        <v>261</v>
      </c>
    </row>
    <row r="234" spans="1:15" customFormat="1" ht="15.75" customHeight="1" x14ac:dyDescent="0.2">
      <c r="A234" s="187"/>
      <c r="B234" s="457">
        <v>2017</v>
      </c>
      <c r="C234" s="8"/>
      <c r="D234" s="62" t="s">
        <v>799</v>
      </c>
      <c r="E234" s="62" t="s">
        <v>799</v>
      </c>
      <c r="F234" s="62" t="s">
        <v>799</v>
      </c>
      <c r="G234" s="62" t="s">
        <v>799</v>
      </c>
      <c r="H234" s="62" t="s">
        <v>799</v>
      </c>
      <c r="I234" s="62" t="s">
        <v>799</v>
      </c>
    </row>
    <row r="235" spans="1:15" customFormat="1" ht="15.75" customHeight="1" x14ac:dyDescent="0.2">
      <c r="A235" s="187"/>
      <c r="B235" s="176" t="s">
        <v>892</v>
      </c>
      <c r="C235" s="8"/>
      <c r="D235" s="335">
        <v>1146505</v>
      </c>
      <c r="E235" s="336">
        <v>71226</v>
      </c>
      <c r="F235" s="429">
        <v>0</v>
      </c>
      <c r="G235" s="337">
        <v>0</v>
      </c>
      <c r="H235" s="429">
        <v>-65799</v>
      </c>
      <c r="I235" s="335">
        <v>1151932</v>
      </c>
      <c r="J235" s="245"/>
    </row>
    <row r="236" spans="1:15" customFormat="1" ht="15.75" customHeight="1" x14ac:dyDescent="0.2">
      <c r="A236" s="187"/>
      <c r="B236" s="176" t="s">
        <v>982</v>
      </c>
      <c r="C236" s="8"/>
      <c r="D236" s="335">
        <v>875607</v>
      </c>
      <c r="E236" s="336">
        <v>364479</v>
      </c>
      <c r="F236" s="429">
        <v>-2976</v>
      </c>
      <c r="G236" s="337">
        <v>0</v>
      </c>
      <c r="H236" s="429">
        <v>-189792</v>
      </c>
      <c r="I236" s="335">
        <v>1047318</v>
      </c>
      <c r="J236" s="245"/>
    </row>
    <row r="237" spans="1:15" customFormat="1" ht="15.75" customHeight="1" x14ac:dyDescent="0.2">
      <c r="A237" s="187"/>
      <c r="B237" s="175" t="s">
        <v>829</v>
      </c>
      <c r="C237" s="8"/>
      <c r="D237" s="335">
        <v>305015</v>
      </c>
      <c r="E237" s="336">
        <v>100239</v>
      </c>
      <c r="F237" s="429">
        <v>-3204</v>
      </c>
      <c r="G237" s="337">
        <v>0</v>
      </c>
      <c r="H237" s="429">
        <v>-95826</v>
      </c>
      <c r="I237" s="335">
        <v>306224</v>
      </c>
      <c r="J237" s="245"/>
    </row>
    <row r="238" spans="1:15" customFormat="1" ht="15.75" customHeight="1" x14ac:dyDescent="0.2">
      <c r="A238" s="187"/>
      <c r="B238" s="154" t="s">
        <v>1033</v>
      </c>
      <c r="C238" s="8"/>
      <c r="D238" s="337">
        <v>110581</v>
      </c>
      <c r="E238" s="336">
        <v>43498</v>
      </c>
      <c r="F238" s="337">
        <v>0</v>
      </c>
      <c r="G238" s="337">
        <v>0</v>
      </c>
      <c r="H238" s="429">
        <v>-39592</v>
      </c>
      <c r="I238" s="335">
        <v>105681</v>
      </c>
      <c r="J238" s="245"/>
    </row>
    <row r="239" spans="1:15" customFormat="1" ht="15.75" customHeight="1" x14ac:dyDescent="0.2">
      <c r="A239" s="187"/>
      <c r="B239" s="175" t="s">
        <v>984</v>
      </c>
      <c r="C239" s="8"/>
      <c r="D239" s="335">
        <v>26600</v>
      </c>
      <c r="E239" s="337">
        <v>0</v>
      </c>
      <c r="F239" s="337">
        <v>0</v>
      </c>
      <c r="G239" s="337">
        <v>0</v>
      </c>
      <c r="H239" s="429">
        <v>-4900</v>
      </c>
      <c r="I239" s="335">
        <v>30506</v>
      </c>
      <c r="J239" s="245"/>
      <c r="O239" s="25" t="s">
        <v>1014</v>
      </c>
    </row>
    <row r="240" spans="1:15" customFormat="1" ht="15.75" customHeight="1" x14ac:dyDescent="0.2">
      <c r="A240" s="187"/>
      <c r="B240" s="176"/>
      <c r="C240" s="26"/>
      <c r="D240" s="26"/>
      <c r="E240" s="325"/>
      <c r="F240" s="173"/>
      <c r="G240" s="173"/>
      <c r="H240" s="173"/>
      <c r="I240" s="53"/>
      <c r="J240" s="245">
        <f>+D240+E240-H240</f>
        <v>0</v>
      </c>
    </row>
    <row r="241" spans="1:9" customFormat="1" ht="15.75" customHeight="1" thickBot="1" x14ac:dyDescent="0.25">
      <c r="A241" s="187"/>
      <c r="B241" s="154" t="s">
        <v>1275</v>
      </c>
      <c r="C241" s="53"/>
      <c r="D241" s="458">
        <f t="shared" ref="D241:I241" si="3">SUM(D235:D240)</f>
        <v>2464308</v>
      </c>
      <c r="E241" s="458">
        <f t="shared" si="3"/>
        <v>579442</v>
      </c>
      <c r="F241" s="459">
        <f t="shared" si="3"/>
        <v>-6180</v>
      </c>
      <c r="G241" s="458">
        <f t="shared" si="3"/>
        <v>0</v>
      </c>
      <c r="H241" s="459">
        <f t="shared" si="3"/>
        <v>-395909</v>
      </c>
      <c r="I241" s="458">
        <f t="shared" si="3"/>
        <v>2641661</v>
      </c>
    </row>
    <row r="242" spans="1:9" customFormat="1" ht="15.75" customHeight="1" thickTop="1" x14ac:dyDescent="0.2">
      <c r="A242" s="187"/>
      <c r="B242" s="50"/>
      <c r="C242" s="50"/>
      <c r="D242" s="50"/>
      <c r="E242" s="50"/>
      <c r="F242" s="50"/>
      <c r="G242" s="29"/>
      <c r="H242" s="45"/>
      <c r="I242" s="8"/>
    </row>
    <row r="243" spans="1:9" customFormat="1" ht="15.75" customHeight="1" x14ac:dyDescent="0.2">
      <c r="A243" s="187"/>
      <c r="B243" s="326">
        <f>+B234</f>
        <v>2017</v>
      </c>
      <c r="C243" s="18"/>
      <c r="D243" s="18"/>
      <c r="E243" s="18"/>
      <c r="F243" s="163"/>
      <c r="G243" s="163"/>
      <c r="H243" s="163"/>
      <c r="I243" s="12"/>
    </row>
    <row r="244" spans="1:9" customFormat="1" ht="15.75" customHeight="1" x14ac:dyDescent="0.2">
      <c r="A244" s="187"/>
      <c r="B244" s="327"/>
      <c r="C244" s="18"/>
      <c r="D244" s="18"/>
      <c r="E244" s="18"/>
      <c r="F244" s="173"/>
      <c r="G244" s="173"/>
      <c r="H244" s="173"/>
      <c r="I244" s="18"/>
    </row>
    <row r="245" spans="1:9" customFormat="1" ht="30.75" customHeight="1" x14ac:dyDescent="0.2">
      <c r="A245" s="187"/>
      <c r="B245" s="328"/>
      <c r="C245" s="18"/>
      <c r="D245" s="18"/>
      <c r="E245" s="18"/>
      <c r="F245" s="173"/>
      <c r="G245" s="324" t="s">
        <v>262</v>
      </c>
      <c r="H245" s="324" t="s">
        <v>263</v>
      </c>
      <c r="I245" s="331" t="s">
        <v>264</v>
      </c>
    </row>
    <row r="246" spans="1:9" customFormat="1" ht="15.75" customHeight="1" x14ac:dyDescent="0.2">
      <c r="A246" s="187"/>
      <c r="B246" s="329"/>
      <c r="C246" s="18"/>
      <c r="D246" s="18"/>
      <c r="E246" s="18"/>
      <c r="F246" s="173"/>
      <c r="G246" s="332" t="s">
        <v>799</v>
      </c>
      <c r="H246" s="332" t="s">
        <v>799</v>
      </c>
      <c r="I246" s="332" t="s">
        <v>799</v>
      </c>
    </row>
    <row r="247" spans="1:9" customFormat="1" ht="15.75" customHeight="1" x14ac:dyDescent="0.2">
      <c r="A247" s="187"/>
      <c r="B247" s="176" t="s">
        <v>892</v>
      </c>
      <c r="C247" s="18"/>
      <c r="D247" s="18"/>
      <c r="E247" s="18"/>
      <c r="F247" s="173"/>
      <c r="G247" s="337">
        <v>1335710</v>
      </c>
      <c r="H247" s="173">
        <v>-183778</v>
      </c>
      <c r="I247" s="336">
        <v>1151932</v>
      </c>
    </row>
    <row r="248" spans="1:9" customFormat="1" ht="15.75" customHeight="1" x14ac:dyDescent="0.2">
      <c r="A248" s="187"/>
      <c r="B248" s="176" t="s">
        <v>982</v>
      </c>
      <c r="C248" s="325"/>
      <c r="D248" s="325"/>
      <c r="E248" s="325"/>
      <c r="F248" s="60"/>
      <c r="G248" s="337">
        <v>2662935</v>
      </c>
      <c r="H248" s="173">
        <v>-1615617</v>
      </c>
      <c r="I248" s="336">
        <v>1047318</v>
      </c>
    </row>
    <row r="249" spans="1:9" customFormat="1" ht="15.75" customHeight="1" x14ac:dyDescent="0.2">
      <c r="A249" s="187"/>
      <c r="B249" s="175" t="s">
        <v>829</v>
      </c>
      <c r="C249" s="325"/>
      <c r="D249" s="325"/>
      <c r="E249" s="12"/>
      <c r="F249" s="60"/>
      <c r="G249" s="202">
        <v>829361</v>
      </c>
      <c r="H249" s="173">
        <v>-523137</v>
      </c>
      <c r="I249" s="336">
        <v>306224</v>
      </c>
    </row>
    <row r="250" spans="1:9" customFormat="1" ht="15.75" customHeight="1" x14ac:dyDescent="0.2">
      <c r="A250" s="187"/>
      <c r="B250" s="154" t="s">
        <v>1033</v>
      </c>
      <c r="C250" s="325"/>
      <c r="D250" s="325"/>
      <c r="E250" s="12"/>
      <c r="F250" s="60"/>
      <c r="G250" s="202">
        <v>118846</v>
      </c>
      <c r="H250" s="173">
        <v>-13165</v>
      </c>
      <c r="I250" s="336">
        <v>105681</v>
      </c>
    </row>
    <row r="251" spans="1:9" customFormat="1" ht="15.75" customHeight="1" x14ac:dyDescent="0.2">
      <c r="A251" s="187"/>
      <c r="B251" s="175" t="s">
        <v>984</v>
      </c>
      <c r="C251" s="460"/>
      <c r="D251" s="460"/>
      <c r="E251" s="460"/>
      <c r="F251" s="461"/>
      <c r="G251" s="337">
        <v>118126</v>
      </c>
      <c r="H251" s="173">
        <v>-87620</v>
      </c>
      <c r="I251" s="336">
        <v>30506</v>
      </c>
    </row>
    <row r="252" spans="1:9" customFormat="1" ht="15.75" customHeight="1" x14ac:dyDescent="0.25">
      <c r="A252" s="187"/>
      <c r="B252" s="462"/>
      <c r="C252" s="460"/>
      <c r="D252" s="460"/>
      <c r="E252" s="460"/>
      <c r="F252" s="461"/>
      <c r="G252" s="465"/>
      <c r="H252" s="465"/>
      <c r="I252" s="466"/>
    </row>
    <row r="253" spans="1:9" customFormat="1" ht="15.75" customHeight="1" thickBot="1" x14ac:dyDescent="0.25">
      <c r="A253" s="187"/>
      <c r="B253" s="154" t="s">
        <v>1275</v>
      </c>
      <c r="C253" s="66"/>
      <c r="D253" s="66"/>
      <c r="E253" s="66"/>
      <c r="F253" s="169"/>
      <c r="G253" s="467">
        <f>SUM(G247:G252)</f>
        <v>5064978</v>
      </c>
      <c r="H253" s="459">
        <f>SUM(H247:H252)</f>
        <v>-2423317</v>
      </c>
      <c r="I253" s="467">
        <f>SUM(I247:I252)</f>
        <v>2641661</v>
      </c>
    </row>
    <row r="254" spans="1:9" customFormat="1" ht="15.75" customHeight="1" thickTop="1" x14ac:dyDescent="0.2">
      <c r="A254" s="187"/>
      <c r="B254" s="329"/>
      <c r="C254" s="66"/>
      <c r="D254" s="66"/>
      <c r="E254" s="66"/>
      <c r="F254" s="169"/>
      <c r="G254" s="145"/>
      <c r="H254" s="145"/>
      <c r="I254" s="18"/>
    </row>
    <row r="255" spans="1:9" customFormat="1" ht="15.75" customHeight="1" x14ac:dyDescent="0.2">
      <c r="A255" s="187"/>
      <c r="B255" s="329"/>
      <c r="C255" s="66"/>
      <c r="D255" s="66"/>
      <c r="E255" s="66"/>
      <c r="F255" s="169"/>
      <c r="G255" s="145"/>
      <c r="H255" s="145"/>
      <c r="I255" s="18"/>
    </row>
    <row r="256" spans="1:9" ht="15.75" customHeight="1" x14ac:dyDescent="0.25">
      <c r="A256" s="184">
        <f>+A210+1</f>
        <v>17</v>
      </c>
      <c r="B256" s="182" t="s">
        <v>848</v>
      </c>
      <c r="E256" s="12"/>
      <c r="F256" s="28"/>
      <c r="H256" s="29"/>
    </row>
    <row r="257" spans="1:12" ht="15.75" customHeight="1" x14ac:dyDescent="0.2">
      <c r="B257" s="32"/>
      <c r="C257" s="11"/>
      <c r="D257" s="11"/>
      <c r="F257" s="156">
        <f>'Comprehensive Income'!$C$5</f>
        <v>2018</v>
      </c>
      <c r="G257" s="156">
        <f>'Comprehensive Income'!$D$5</f>
        <v>2018</v>
      </c>
      <c r="H257" s="156">
        <f>'Comprehensive Income'!$E$5</f>
        <v>2017</v>
      </c>
    </row>
    <row r="258" spans="1:12" ht="15.75" customHeight="1" x14ac:dyDescent="0.2">
      <c r="B258" s="32"/>
      <c r="C258" s="11"/>
      <c r="D258" s="11"/>
      <c r="F258" s="161" t="s">
        <v>800</v>
      </c>
      <c r="G258" s="157" t="s">
        <v>801</v>
      </c>
      <c r="H258" s="157" t="s">
        <v>800</v>
      </c>
      <c r="I258" s="9"/>
    </row>
    <row r="259" spans="1:12" ht="15.75" customHeight="1" x14ac:dyDescent="0.2">
      <c r="B259" s="32"/>
      <c r="C259" s="11"/>
      <c r="D259" s="11"/>
      <c r="F259" s="161"/>
      <c r="G259" s="171" t="s">
        <v>366</v>
      </c>
      <c r="H259" s="157"/>
      <c r="I259" s="9"/>
    </row>
    <row r="260" spans="1:12" ht="15.75" customHeight="1" x14ac:dyDescent="0.2">
      <c r="B260" s="82"/>
      <c r="C260" s="26"/>
      <c r="D260" s="26"/>
      <c r="F260" s="161" t="s">
        <v>799</v>
      </c>
      <c r="G260" s="157" t="s">
        <v>799</v>
      </c>
      <c r="H260" s="157" t="s">
        <v>799</v>
      </c>
    </row>
    <row r="261" spans="1:12" ht="15.75" customHeight="1" x14ac:dyDescent="0.2">
      <c r="A261" s="186"/>
      <c r="B261" s="176" t="s">
        <v>265</v>
      </c>
      <c r="F261" s="80">
        <f>+'Codes allocation'!D969+'Codes allocation'!D972-F263</f>
        <v>107247</v>
      </c>
      <c r="G261" s="80">
        <f>+'Codes allocation'!F969+'Codes allocation'!F972-G263-4</f>
        <v>106853</v>
      </c>
      <c r="H261" s="80">
        <f>+'Codes allocation'!H969+'Codes allocation'!H972-H263+1</f>
        <v>106855</v>
      </c>
      <c r="I261" s="9"/>
    </row>
    <row r="262" spans="1:12" ht="15.75" customHeight="1" x14ac:dyDescent="0.2">
      <c r="A262" s="186"/>
      <c r="B262" s="176" t="s">
        <v>266</v>
      </c>
      <c r="F262" s="80">
        <f>+'Codes allocation'!D971</f>
        <v>8596</v>
      </c>
      <c r="G262" s="80">
        <f>+'Codes allocation'!F971</f>
        <v>17034</v>
      </c>
      <c r="H262" s="80">
        <f>+'Codes allocation'!H971</f>
        <v>7037</v>
      </c>
      <c r="I262" s="9"/>
    </row>
    <row r="263" spans="1:12" ht="15.75" customHeight="1" x14ac:dyDescent="0.2">
      <c r="A263" s="186"/>
      <c r="B263" s="176" t="s">
        <v>267</v>
      </c>
      <c r="F263" s="81">
        <v>0</v>
      </c>
      <c r="G263" s="60">
        <v>0</v>
      </c>
      <c r="H263" s="80">
        <v>9997</v>
      </c>
      <c r="I263" s="9"/>
    </row>
    <row r="264" spans="1:12" ht="15.75" customHeight="1" x14ac:dyDescent="0.2">
      <c r="A264" s="186"/>
      <c r="B264" s="176" t="s">
        <v>839</v>
      </c>
      <c r="F264" s="80">
        <f>+'Codes allocation'!D973</f>
        <v>680242</v>
      </c>
      <c r="G264" s="80">
        <f>+'Codes allocation'!F973</f>
        <v>625600</v>
      </c>
      <c r="H264" s="80">
        <f>+'Codes allocation'!H973</f>
        <v>625600</v>
      </c>
    </row>
    <row r="265" spans="1:12" ht="15.75" customHeight="1" x14ac:dyDescent="0.2">
      <c r="A265" s="186"/>
      <c r="B265" s="176" t="s">
        <v>268</v>
      </c>
      <c r="F265" s="80">
        <f>+'Codes allocation'!D970</f>
        <v>114382</v>
      </c>
      <c r="G265" s="80">
        <f>+'Codes allocation'!F970</f>
        <v>126143</v>
      </c>
      <c r="H265" s="80">
        <f>+'Codes allocation'!H970</f>
        <v>126143</v>
      </c>
    </row>
    <row r="266" spans="1:12" ht="15.75" customHeight="1" x14ac:dyDescent="0.2">
      <c r="A266" s="186"/>
      <c r="F266" s="80"/>
      <c r="G266" s="81"/>
      <c r="H266" s="80"/>
    </row>
    <row r="267" spans="1:12" ht="15.75" customHeight="1" thickBot="1" x14ac:dyDescent="0.25">
      <c r="F267" s="468">
        <f>SUM(F261:F266)</f>
        <v>910467</v>
      </c>
      <c r="G267" s="468">
        <f>SUM(G261:G266)</f>
        <v>875630</v>
      </c>
      <c r="H267" s="468">
        <f>SUM(H261:H266)</f>
        <v>875632</v>
      </c>
    </row>
    <row r="268" spans="1:12" ht="15.75" customHeight="1" thickTop="1" x14ac:dyDescent="0.2">
      <c r="F268" s="81"/>
      <c r="G268" s="81"/>
      <c r="H268" s="81"/>
      <c r="L268" s="81">
        <v>0</v>
      </c>
    </row>
    <row r="269" spans="1:12" ht="15.75" customHeight="1" x14ac:dyDescent="0.2">
      <c r="F269" s="81"/>
      <c r="G269" s="81"/>
      <c r="H269" s="81"/>
    </row>
    <row r="270" spans="1:12" ht="15.75" customHeight="1" x14ac:dyDescent="0.2">
      <c r="B270" s="176" t="s">
        <v>269</v>
      </c>
      <c r="F270" s="81">
        <f>+F261+F262+F263</f>
        <v>115843</v>
      </c>
      <c r="G270" s="81">
        <f>+H270</f>
        <v>123889</v>
      </c>
      <c r="H270" s="81">
        <f>+H261+H262+H263</f>
        <v>123889</v>
      </c>
    </row>
    <row r="271" spans="1:12" ht="15.75" customHeight="1" x14ac:dyDescent="0.2">
      <c r="B271" s="176" t="s">
        <v>270</v>
      </c>
      <c r="F271" s="81">
        <v>0</v>
      </c>
      <c r="G271" s="81">
        <f>+H271</f>
        <v>0</v>
      </c>
      <c r="H271" s="81">
        <v>0</v>
      </c>
    </row>
    <row r="272" spans="1:12" ht="15.75" customHeight="1" x14ac:dyDescent="0.2">
      <c r="B272" s="176" t="s">
        <v>271</v>
      </c>
      <c r="F272" s="81">
        <f>+F264+F265</f>
        <v>794624</v>
      </c>
      <c r="G272" s="81">
        <f>+H272</f>
        <v>751743</v>
      </c>
      <c r="H272" s="81">
        <f>+H264+H265</f>
        <v>751743</v>
      </c>
    </row>
    <row r="273" spans="1:13" ht="15.75" customHeight="1" x14ac:dyDescent="0.2">
      <c r="F273" s="81"/>
      <c r="G273" s="81"/>
      <c r="H273" s="81"/>
    </row>
    <row r="274" spans="1:13" ht="15.75" customHeight="1" thickBot="1" x14ac:dyDescent="0.25">
      <c r="F274" s="468">
        <f>SUM(F270:F273)</f>
        <v>910467</v>
      </c>
      <c r="G274" s="468">
        <f>SUM(G270:G273)</f>
        <v>875632</v>
      </c>
      <c r="H274" s="468">
        <f>SUM(H270:H273)</f>
        <v>875632</v>
      </c>
    </row>
    <row r="275" spans="1:13" ht="15.75" customHeight="1" thickTop="1" x14ac:dyDescent="0.2">
      <c r="F275" s="81"/>
      <c r="G275" s="81"/>
      <c r="H275" s="81"/>
    </row>
    <row r="276" spans="1:13" ht="15.75" customHeight="1" x14ac:dyDescent="0.2">
      <c r="F276" s="81"/>
      <c r="G276" s="81"/>
      <c r="H276" s="81"/>
    </row>
    <row r="277" spans="1:13" customFormat="1" ht="15.75" customHeight="1" x14ac:dyDescent="0.2">
      <c r="A277" s="187"/>
      <c r="B277" s="175" t="s">
        <v>996</v>
      </c>
      <c r="C277" s="11"/>
      <c r="D277" s="11"/>
      <c r="E277" s="11"/>
      <c r="F277" s="28"/>
      <c r="G277" s="28"/>
      <c r="H277" s="28"/>
      <c r="I277" s="18"/>
      <c r="J277" s="19"/>
      <c r="K277" s="19"/>
      <c r="L277" s="19"/>
      <c r="M277" s="19"/>
    </row>
    <row r="278" spans="1:13" customFormat="1" ht="15.75" customHeight="1" x14ac:dyDescent="0.2">
      <c r="A278" s="187"/>
      <c r="B278" s="469"/>
      <c r="C278" s="8"/>
      <c r="D278" s="8"/>
      <c r="E278" s="8"/>
      <c r="F278" s="28"/>
      <c r="G278" s="28"/>
      <c r="H278" s="28"/>
      <c r="I278" s="18"/>
      <c r="J278" s="19"/>
      <c r="K278" s="19"/>
      <c r="L278" s="19"/>
      <c r="M278" s="19"/>
    </row>
    <row r="279" spans="1:13" ht="15.75" customHeight="1" x14ac:dyDescent="0.2">
      <c r="E279" s="12"/>
      <c r="F279" s="28"/>
      <c r="G279" s="28"/>
      <c r="H279" s="29"/>
    </row>
    <row r="280" spans="1:13" ht="15.75" customHeight="1" x14ac:dyDescent="0.25">
      <c r="A280" s="184">
        <f>A256+1</f>
        <v>18</v>
      </c>
      <c r="B280" s="182" t="s">
        <v>379</v>
      </c>
      <c r="E280" s="12"/>
      <c r="F280" s="54"/>
      <c r="G280" s="28"/>
      <c r="H280" s="29"/>
    </row>
    <row r="281" spans="1:13" ht="15.75" customHeight="1" x14ac:dyDescent="0.2">
      <c r="B281" s="32"/>
      <c r="C281" s="11"/>
      <c r="D281" s="11"/>
      <c r="F281" s="156">
        <f>'Comprehensive Income'!$C$5</f>
        <v>2018</v>
      </c>
      <c r="G281" s="156">
        <f>'Comprehensive Income'!$D$5</f>
        <v>2018</v>
      </c>
      <c r="H281" s="156">
        <f>'Comprehensive Income'!$E$5</f>
        <v>2017</v>
      </c>
    </row>
    <row r="282" spans="1:13" ht="15.75" customHeight="1" x14ac:dyDescent="0.2">
      <c r="B282" s="32"/>
      <c r="C282" s="11"/>
      <c r="D282" s="11"/>
      <c r="F282" s="161" t="s">
        <v>800</v>
      </c>
      <c r="G282" s="157" t="s">
        <v>801</v>
      </c>
      <c r="H282" s="157" t="s">
        <v>800</v>
      </c>
      <c r="I282" s="9"/>
    </row>
    <row r="283" spans="1:13" ht="15.75" customHeight="1" x14ac:dyDescent="0.2">
      <c r="B283" s="32"/>
      <c r="C283" s="11"/>
      <c r="D283" s="11"/>
      <c r="F283" s="161"/>
      <c r="G283" s="171" t="s">
        <v>366</v>
      </c>
      <c r="H283" s="157"/>
      <c r="I283" s="9"/>
    </row>
    <row r="284" spans="1:13" ht="15.75" customHeight="1" x14ac:dyDescent="0.2">
      <c r="B284" s="32"/>
      <c r="C284" s="11"/>
      <c r="D284" s="11"/>
      <c r="F284" s="161" t="s">
        <v>799</v>
      </c>
      <c r="G284" s="157" t="s">
        <v>799</v>
      </c>
      <c r="H284" s="157" t="s">
        <v>799</v>
      </c>
      <c r="I284" s="9"/>
      <c r="J284" s="33"/>
    </row>
    <row r="285" spans="1:13" ht="15.75" customHeight="1" x14ac:dyDescent="0.2">
      <c r="B285" s="154" t="s">
        <v>885</v>
      </c>
      <c r="C285" s="11"/>
      <c r="F285" s="80">
        <f>+'Codes allocation'!D975</f>
        <v>97</v>
      </c>
      <c r="G285" s="80">
        <f>+'Codes allocation'!F975</f>
        <v>0</v>
      </c>
      <c r="H285" s="80">
        <f>+'Codes allocation'!H975</f>
        <v>97</v>
      </c>
      <c r="J285" s="9"/>
      <c r="K285" s="11"/>
    </row>
    <row r="286" spans="1:13" ht="15.75" customHeight="1" x14ac:dyDescent="0.2">
      <c r="B286" s="175" t="s">
        <v>851</v>
      </c>
      <c r="C286" s="11"/>
      <c r="F286" s="80">
        <f>+'Codes allocation'!D992</f>
        <v>34212</v>
      </c>
      <c r="G286" s="80">
        <f>+'Codes allocation'!F992</f>
        <v>30866</v>
      </c>
      <c r="H286" s="80">
        <f>+'Codes allocation'!H992</f>
        <v>30769</v>
      </c>
      <c r="J286" s="48"/>
      <c r="K286" s="11"/>
    </row>
    <row r="287" spans="1:13" ht="15.75" customHeight="1" thickBot="1" x14ac:dyDescent="0.25">
      <c r="F287" s="468">
        <f>SUM(F285:F286)</f>
        <v>34309</v>
      </c>
      <c r="G287" s="468">
        <f>SUM(G285:G286)</f>
        <v>30866</v>
      </c>
      <c r="H287" s="468">
        <f>SUM(H285:H286)</f>
        <v>30866</v>
      </c>
      <c r="J287" s="9"/>
      <c r="K287" s="11"/>
    </row>
    <row r="288" spans="1:13" ht="15.75" customHeight="1" thickTop="1" x14ac:dyDescent="0.2">
      <c r="F288" s="81"/>
      <c r="G288" s="80"/>
      <c r="H288" s="81"/>
    </row>
    <row r="289" spans="1:15" ht="15.75" customHeight="1" x14ac:dyDescent="0.25">
      <c r="A289" s="184">
        <f>+A280+1</f>
        <v>19</v>
      </c>
      <c r="B289" s="182" t="s">
        <v>470</v>
      </c>
      <c r="F289" s="156">
        <f>'Comprehensive Income'!$C$5</f>
        <v>2018</v>
      </c>
      <c r="G289" s="156">
        <f>'Comprehensive Income'!$D$5</f>
        <v>2018</v>
      </c>
      <c r="H289" s="156">
        <f>'Comprehensive Income'!$E$5</f>
        <v>2017</v>
      </c>
    </row>
    <row r="290" spans="1:15" ht="15.75" customHeight="1" x14ac:dyDescent="0.2">
      <c r="F290" s="161" t="s">
        <v>800</v>
      </c>
      <c r="G290" s="157" t="s">
        <v>801</v>
      </c>
      <c r="H290" s="157" t="s">
        <v>800</v>
      </c>
    </row>
    <row r="291" spans="1:15" ht="15.75" customHeight="1" x14ac:dyDescent="0.2">
      <c r="F291" s="161"/>
      <c r="G291" s="171" t="s">
        <v>366</v>
      </c>
      <c r="H291" s="157"/>
      <c r="O291" s="26" t="s">
        <v>1014</v>
      </c>
    </row>
    <row r="292" spans="1:15" ht="15.75" customHeight="1" x14ac:dyDescent="0.2">
      <c r="F292" s="161" t="s">
        <v>799</v>
      </c>
      <c r="G292" s="157" t="s">
        <v>799</v>
      </c>
      <c r="H292" s="157" t="s">
        <v>799</v>
      </c>
    </row>
    <row r="293" spans="1:15" ht="15.75" customHeight="1" x14ac:dyDescent="0.2">
      <c r="B293" s="176" t="s">
        <v>750</v>
      </c>
      <c r="F293" s="81">
        <f>+H297</f>
        <v>121122</v>
      </c>
      <c r="G293" s="80">
        <f>+H297</f>
        <v>121122</v>
      </c>
      <c r="H293" s="81">
        <v>98311</v>
      </c>
    </row>
    <row r="294" spans="1:15" ht="15.75" customHeight="1" x14ac:dyDescent="0.2">
      <c r="B294" s="176" t="s">
        <v>751</v>
      </c>
      <c r="F294" s="81">
        <f>'Codes allocation'!D836</f>
        <v>12115</v>
      </c>
      <c r="G294" s="80">
        <v>15811</v>
      </c>
      <c r="H294" s="81">
        <v>22811</v>
      </c>
    </row>
    <row r="295" spans="1:15" ht="15.75" hidden="1" customHeight="1" x14ac:dyDescent="0.2">
      <c r="B295" s="176" t="s">
        <v>272</v>
      </c>
      <c r="F295" s="81">
        <v>0</v>
      </c>
      <c r="G295" s="80">
        <v>0</v>
      </c>
      <c r="H295" s="81">
        <v>0</v>
      </c>
    </row>
    <row r="296" spans="1:15" ht="15.75" customHeight="1" x14ac:dyDescent="0.2">
      <c r="B296" s="176" t="s">
        <v>752</v>
      </c>
      <c r="F296" s="81">
        <v>0</v>
      </c>
      <c r="G296" s="80">
        <v>0</v>
      </c>
      <c r="H296" s="81">
        <v>0</v>
      </c>
      <c r="O296" s="26" t="s">
        <v>1014</v>
      </c>
    </row>
    <row r="297" spans="1:15" ht="15.75" customHeight="1" thickBot="1" x14ac:dyDescent="0.25">
      <c r="B297" s="176" t="s">
        <v>753</v>
      </c>
      <c r="F297" s="468">
        <f>SUM(F293:F296)</f>
        <v>133237</v>
      </c>
      <c r="G297" s="468">
        <f>+G293+G294+G296</f>
        <v>136933</v>
      </c>
      <c r="H297" s="468">
        <f>+H293+H294+H296</f>
        <v>121122</v>
      </c>
    </row>
    <row r="298" spans="1:15" ht="15.75" customHeight="1" thickTop="1" x14ac:dyDescent="0.2">
      <c r="F298" s="81"/>
      <c r="G298" s="80"/>
      <c r="H298" s="81"/>
    </row>
    <row r="299" spans="1:15" ht="15.75" customHeight="1" x14ac:dyDescent="0.2">
      <c r="F299" s="81"/>
      <c r="G299" s="80"/>
      <c r="H299" s="81"/>
    </row>
    <row r="300" spans="1:15" ht="15.75" customHeight="1" x14ac:dyDescent="0.2">
      <c r="B300" s="176" t="s">
        <v>273</v>
      </c>
      <c r="F300" s="81">
        <f>'Codes allocation'!D994</f>
        <v>0</v>
      </c>
      <c r="G300" s="484" t="s">
        <v>818</v>
      </c>
      <c r="H300" s="81">
        <f>'Codes allocation'!H994</f>
        <v>0</v>
      </c>
    </row>
    <row r="301" spans="1:15" ht="15.75" customHeight="1" x14ac:dyDescent="0.2">
      <c r="B301" s="176" t="s">
        <v>274</v>
      </c>
      <c r="F301" s="81">
        <f>+'Codes allocation'!D995</f>
        <v>133237</v>
      </c>
      <c r="G301" s="80">
        <f>+G297</f>
        <v>136933</v>
      </c>
      <c r="H301" s="81">
        <f>+H297</f>
        <v>121122</v>
      </c>
    </row>
    <row r="302" spans="1:15" ht="15.75" customHeight="1" thickBot="1" x14ac:dyDescent="0.25">
      <c r="F302" s="468">
        <f>+F300+F301</f>
        <v>133237</v>
      </c>
      <c r="G302" s="468">
        <f>SUM(G300:G301)</f>
        <v>136933</v>
      </c>
      <c r="H302" s="468">
        <f>SUM(H300:H301)</f>
        <v>121122</v>
      </c>
    </row>
    <row r="303" spans="1:15" ht="15.75" customHeight="1" thickTop="1" x14ac:dyDescent="0.2">
      <c r="F303" s="81"/>
      <c r="G303" s="80"/>
      <c r="H303" s="81"/>
    </row>
    <row r="304" spans="1:15" ht="72.75" customHeight="1" x14ac:dyDescent="0.2">
      <c r="B304" s="574" t="s">
        <v>1347</v>
      </c>
      <c r="C304" s="565"/>
      <c r="D304" s="565"/>
      <c r="E304" s="565"/>
      <c r="F304" s="565"/>
      <c r="G304" s="565"/>
      <c r="H304" s="565"/>
    </row>
    <row r="305" spans="1:8" ht="15.75" customHeight="1" x14ac:dyDescent="0.2">
      <c r="F305" s="81"/>
      <c r="G305" s="80"/>
      <c r="H305" s="81"/>
    </row>
    <row r="306" spans="1:8" ht="15.75" customHeight="1" x14ac:dyDescent="0.25">
      <c r="A306" s="184">
        <f>+A289+1</f>
        <v>20</v>
      </c>
      <c r="B306" s="182" t="s">
        <v>1202</v>
      </c>
      <c r="F306" s="156"/>
      <c r="G306" s="156"/>
      <c r="H306" s="156"/>
    </row>
    <row r="307" spans="1:8" ht="15.75" customHeight="1" x14ac:dyDescent="0.2">
      <c r="A307" s="184"/>
      <c r="B307" s="570" t="s">
        <v>1198</v>
      </c>
      <c r="C307" s="570"/>
      <c r="D307" s="570"/>
      <c r="E307" s="570"/>
      <c r="F307" s="570"/>
      <c r="G307" s="570"/>
      <c r="H307" s="570"/>
    </row>
    <row r="308" spans="1:8" ht="15.75" customHeight="1" x14ac:dyDescent="0.2">
      <c r="A308" s="184"/>
      <c r="B308" s="570"/>
      <c r="C308" s="570"/>
      <c r="D308" s="570"/>
      <c r="E308" s="570"/>
      <c r="F308" s="570"/>
      <c r="G308" s="570"/>
      <c r="H308" s="570"/>
    </row>
    <row r="309" spans="1:8" ht="15.75" customHeight="1" x14ac:dyDescent="0.2">
      <c r="A309" s="184"/>
      <c r="B309" s="470"/>
      <c r="C309" s="470"/>
      <c r="D309" s="470"/>
      <c r="E309" s="470"/>
      <c r="F309" s="470"/>
      <c r="G309" s="470"/>
      <c r="H309" s="470"/>
    </row>
    <row r="310" spans="1:8" ht="15.75" customHeight="1" x14ac:dyDescent="0.2">
      <c r="A310" s="184"/>
      <c r="B310" s="470"/>
      <c r="C310" s="470"/>
      <c r="D310" s="470"/>
      <c r="E310" s="470"/>
      <c r="F310" s="156">
        <f>'Comprehensive Income'!$C$5</f>
        <v>2018</v>
      </c>
      <c r="G310" s="156">
        <f>'Comprehensive Income'!$D$5</f>
        <v>2018</v>
      </c>
      <c r="H310" s="156">
        <f>'Comprehensive Income'!$E$5</f>
        <v>2017</v>
      </c>
    </row>
    <row r="311" spans="1:8" ht="15.75" customHeight="1" x14ac:dyDescent="0.2">
      <c r="F311" s="161" t="s">
        <v>800</v>
      </c>
      <c r="G311" s="157" t="s">
        <v>801</v>
      </c>
      <c r="H311" s="157" t="s">
        <v>800</v>
      </c>
    </row>
    <row r="312" spans="1:8" ht="15.75" customHeight="1" x14ac:dyDescent="0.2">
      <c r="F312" s="161"/>
      <c r="G312" s="171" t="s">
        <v>366</v>
      </c>
      <c r="H312" s="157"/>
    </row>
    <row r="313" spans="1:8" ht="15.75" customHeight="1" x14ac:dyDescent="0.2">
      <c r="F313" s="161" t="s">
        <v>799</v>
      </c>
      <c r="G313" s="157" t="s">
        <v>799</v>
      </c>
      <c r="H313" s="157" t="s">
        <v>799</v>
      </c>
    </row>
    <row r="314" spans="1:8" ht="15.75" customHeight="1" x14ac:dyDescent="0.2">
      <c r="B314" s="325" t="s">
        <v>1199</v>
      </c>
      <c r="C314" s="325"/>
      <c r="D314" s="471"/>
      <c r="E314" s="471"/>
      <c r="F314" s="472">
        <f>'Codes allocation'!D1058-'Codes allocation'!D1060</f>
        <v>61185</v>
      </c>
      <c r="G314" s="472">
        <f>'Codes allocation'!F1058-'Codes allocation'!F1060</f>
        <v>37763</v>
      </c>
      <c r="H314" s="472">
        <v>37763</v>
      </c>
    </row>
    <row r="315" spans="1:8" ht="15.75" customHeight="1" x14ac:dyDescent="0.2">
      <c r="B315" s="325" t="s">
        <v>1200</v>
      </c>
      <c r="C315" s="325"/>
      <c r="D315" s="471"/>
      <c r="E315" s="471"/>
      <c r="F315" s="472">
        <f>'Codes allocation'!D1064</f>
        <v>80130</v>
      </c>
      <c r="G315" s="472">
        <f>'Codes allocation'!F1064</f>
        <v>27470</v>
      </c>
      <c r="H315" s="472">
        <f>'Codes allocation'!H1064</f>
        <v>79944</v>
      </c>
    </row>
    <row r="316" spans="1:8" ht="15.75" customHeight="1" x14ac:dyDescent="0.2">
      <c r="B316" s="325" t="s">
        <v>1201</v>
      </c>
      <c r="C316" s="325"/>
      <c r="D316" s="471"/>
      <c r="E316" s="471"/>
      <c r="F316" s="472">
        <v>0</v>
      </c>
      <c r="G316" s="472">
        <v>0</v>
      </c>
      <c r="H316" s="472">
        <v>0</v>
      </c>
    </row>
    <row r="317" spans="1:8" ht="15.75" customHeight="1" x14ac:dyDescent="0.2">
      <c r="B317" s="325"/>
      <c r="C317" s="325"/>
      <c r="D317" s="471"/>
      <c r="E317" s="471"/>
      <c r="F317" s="472"/>
      <c r="G317" s="472"/>
      <c r="H317" s="472"/>
    </row>
    <row r="318" spans="1:8" ht="15.75" customHeight="1" thickBot="1" x14ac:dyDescent="0.25">
      <c r="B318" s="325"/>
      <c r="C318" s="325"/>
      <c r="D318" s="471"/>
      <c r="E318" s="471"/>
      <c r="F318" s="473">
        <f>SUM(F314:F317)</f>
        <v>141315</v>
      </c>
      <c r="G318" s="473">
        <f t="shared" ref="G318:H318" si="4">SUM(G314:G317)</f>
        <v>65233</v>
      </c>
      <c r="H318" s="473">
        <f t="shared" si="4"/>
        <v>117707</v>
      </c>
    </row>
    <row r="319" spans="1:8" ht="15.75" customHeight="1" thickTop="1" x14ac:dyDescent="0.2">
      <c r="B319" s="325"/>
      <c r="C319" s="325"/>
      <c r="D319" s="471"/>
      <c r="E319" s="471"/>
      <c r="F319" s="472"/>
      <c r="G319" s="472"/>
      <c r="H319" s="472"/>
    </row>
    <row r="320" spans="1:8" ht="15.75" customHeight="1" x14ac:dyDescent="0.2">
      <c r="F320" s="81"/>
      <c r="G320" s="80"/>
      <c r="H320" s="81"/>
    </row>
    <row r="321" spans="1:15" ht="15.75" customHeight="1" x14ac:dyDescent="0.25">
      <c r="A321" s="184">
        <f>+A306+1</f>
        <v>21</v>
      </c>
      <c r="B321" s="182" t="s">
        <v>1214</v>
      </c>
      <c r="F321" s="81"/>
      <c r="G321" s="80"/>
      <c r="H321" s="81"/>
    </row>
    <row r="322" spans="1:15" ht="15.75" customHeight="1" x14ac:dyDescent="0.25">
      <c r="A322" s="184"/>
      <c r="B322" s="182"/>
      <c r="F322" s="81"/>
      <c r="G322" s="80"/>
      <c r="H322" s="81"/>
    </row>
    <row r="323" spans="1:15" ht="15.75" customHeight="1" x14ac:dyDescent="0.2">
      <c r="B323" s="571" t="s">
        <v>1276</v>
      </c>
      <c r="C323" s="571"/>
      <c r="D323" s="571"/>
      <c r="E323" s="571"/>
      <c r="F323" s="571"/>
      <c r="G323" s="571"/>
      <c r="H323" s="571"/>
    </row>
    <row r="324" spans="1:15" ht="15.75" customHeight="1" x14ac:dyDescent="0.2">
      <c r="B324" s="474" t="s">
        <v>1348</v>
      </c>
      <c r="C324" s="325"/>
      <c r="D324" s="474"/>
      <c r="E324" s="474"/>
      <c r="F324" s="474"/>
      <c r="G324" s="474"/>
      <c r="H324" s="325"/>
    </row>
    <row r="325" spans="1:15" ht="15.75" hidden="1" customHeight="1" x14ac:dyDescent="0.2">
      <c r="B325" s="475"/>
      <c r="C325" s="325"/>
      <c r="D325" s="476"/>
      <c r="E325" s="477"/>
      <c r="F325" s="477"/>
      <c r="G325" s="572" t="s">
        <v>1203</v>
      </c>
      <c r="H325" s="476"/>
    </row>
    <row r="326" spans="1:15" ht="15.75" hidden="1" customHeight="1" x14ac:dyDescent="0.2">
      <c r="B326" s="478"/>
      <c r="C326" s="440"/>
      <c r="D326" s="479"/>
      <c r="E326" s="479"/>
      <c r="F326" s="479"/>
      <c r="G326" s="572"/>
      <c r="H326" s="479"/>
    </row>
    <row r="327" spans="1:15" ht="15.75" hidden="1" customHeight="1" x14ac:dyDescent="0.2">
      <c r="B327" s="478"/>
      <c r="C327" s="440"/>
      <c r="D327" s="479" t="s">
        <v>1204</v>
      </c>
      <c r="E327" s="479" t="s">
        <v>1205</v>
      </c>
      <c r="F327" s="479"/>
      <c r="G327" s="572"/>
      <c r="H327" s="479" t="s">
        <v>1206</v>
      </c>
    </row>
    <row r="328" spans="1:15" ht="15.75" hidden="1" customHeight="1" x14ac:dyDescent="0.2">
      <c r="B328" s="478"/>
      <c r="C328" s="440">
        <v>2017</v>
      </c>
      <c r="D328" s="479" t="s">
        <v>1207</v>
      </c>
      <c r="E328" s="480" t="s">
        <v>1208</v>
      </c>
      <c r="F328" s="479" t="s">
        <v>1209</v>
      </c>
      <c r="G328" s="572"/>
      <c r="H328" s="479" t="s">
        <v>1207</v>
      </c>
    </row>
    <row r="329" spans="1:15" ht="15.75" hidden="1" customHeight="1" x14ac:dyDescent="0.2">
      <c r="B329" s="478"/>
      <c r="C329" s="481"/>
      <c r="D329" s="480" t="s">
        <v>799</v>
      </c>
      <c r="E329" s="480" t="s">
        <v>799</v>
      </c>
      <c r="F329" s="480" t="s">
        <v>799</v>
      </c>
      <c r="G329" s="480"/>
      <c r="H329" s="480" t="s">
        <v>799</v>
      </c>
      <c r="O329" s="8" t="s">
        <v>1014</v>
      </c>
    </row>
    <row r="330" spans="1:15" ht="15.75" hidden="1" customHeight="1" x14ac:dyDescent="0.2">
      <c r="B330" s="475" t="s">
        <v>1215</v>
      </c>
      <c r="C330" s="482" t="s">
        <v>1271</v>
      </c>
      <c r="D330" s="483">
        <v>0</v>
      </c>
      <c r="E330" s="484">
        <v>25256.43</v>
      </c>
      <c r="F330" s="484">
        <v>25256.43</v>
      </c>
      <c r="G330" s="484">
        <v>0</v>
      </c>
      <c r="H330" s="485">
        <f>E330-F330</f>
        <v>0</v>
      </c>
    </row>
    <row r="331" spans="1:15" ht="15.75" hidden="1" customHeight="1" x14ac:dyDescent="0.2">
      <c r="B331" s="475"/>
      <c r="C331" s="482"/>
      <c r="D331" s="483"/>
      <c r="E331" s="484"/>
      <c r="F331" s="484"/>
      <c r="G331" s="484"/>
      <c r="H331" s="485"/>
    </row>
    <row r="332" spans="1:15" ht="15.75" hidden="1" customHeight="1" thickBot="1" x14ac:dyDescent="0.25">
      <c r="B332" s="475" t="s">
        <v>1210</v>
      </c>
      <c r="C332" s="486"/>
      <c r="D332" s="487">
        <f>SUM(D330:D331)</f>
        <v>0</v>
      </c>
      <c r="E332" s="487">
        <f>SUM(E330:E331)</f>
        <v>25256.43</v>
      </c>
      <c r="F332" s="487">
        <f>SUM(F330:F331)</f>
        <v>25256.43</v>
      </c>
      <c r="G332" s="487">
        <f>SUM(G330:G331)</f>
        <v>0</v>
      </c>
      <c r="H332" s="487">
        <f>SUM(H330:H331)</f>
        <v>0</v>
      </c>
    </row>
    <row r="333" spans="1:15" ht="15.75" hidden="1" customHeight="1" x14ac:dyDescent="0.2">
      <c r="B333" s="478"/>
      <c r="C333" s="440"/>
      <c r="D333" s="48"/>
      <c r="E333" s="48"/>
      <c r="F333" s="479"/>
      <c r="G333" s="572" t="s">
        <v>1203</v>
      </c>
      <c r="H333" s="325"/>
    </row>
    <row r="334" spans="1:15" ht="15.75" hidden="1" customHeight="1" x14ac:dyDescent="0.2">
      <c r="B334" s="478"/>
      <c r="C334" s="440"/>
      <c r="D334" s="479"/>
      <c r="E334" s="479"/>
      <c r="F334" s="479"/>
      <c r="G334" s="572"/>
      <c r="H334" s="479"/>
    </row>
    <row r="335" spans="1:15" ht="15.75" hidden="1" customHeight="1" x14ac:dyDescent="0.2">
      <c r="B335" s="478"/>
      <c r="C335" s="440"/>
      <c r="D335" s="479" t="s">
        <v>1204</v>
      </c>
      <c r="E335" s="479" t="s">
        <v>1205</v>
      </c>
      <c r="F335" s="479"/>
      <c r="G335" s="572"/>
      <c r="H335" s="479" t="s">
        <v>1206</v>
      </c>
    </row>
    <row r="336" spans="1:15" ht="15.75" hidden="1" customHeight="1" x14ac:dyDescent="0.2">
      <c r="B336" s="478"/>
      <c r="C336" s="440">
        <v>2016</v>
      </c>
      <c r="D336" s="479" t="s">
        <v>1207</v>
      </c>
      <c r="E336" s="480" t="s">
        <v>1208</v>
      </c>
      <c r="F336" s="479" t="s">
        <v>1209</v>
      </c>
      <c r="G336" s="572"/>
      <c r="H336" s="479" t="s">
        <v>1207</v>
      </c>
    </row>
    <row r="337" spans="1:10" ht="15.75" hidden="1" customHeight="1" x14ac:dyDescent="0.2">
      <c r="B337" s="478"/>
      <c r="C337" s="481"/>
      <c r="D337" s="480" t="s">
        <v>799</v>
      </c>
      <c r="E337" s="480" t="s">
        <v>799</v>
      </c>
      <c r="F337" s="480" t="s">
        <v>799</v>
      </c>
      <c r="G337" s="480"/>
      <c r="H337" s="480" t="s">
        <v>799</v>
      </c>
    </row>
    <row r="338" spans="1:10" ht="15.75" hidden="1" customHeight="1" x14ac:dyDescent="0.2">
      <c r="B338" s="475" t="s">
        <v>1215</v>
      </c>
      <c r="C338" s="482" t="s">
        <v>1277</v>
      </c>
      <c r="D338" s="483">
        <v>0</v>
      </c>
      <c r="E338" s="484">
        <v>25256.43</v>
      </c>
      <c r="F338" s="484">
        <v>25256.43</v>
      </c>
      <c r="G338" s="484">
        <v>0</v>
      </c>
      <c r="H338" s="485">
        <f>E338-F338</f>
        <v>0</v>
      </c>
    </row>
    <row r="339" spans="1:10" ht="15.75" hidden="1" customHeight="1" x14ac:dyDescent="0.2">
      <c r="B339" s="475"/>
      <c r="C339" s="482"/>
      <c r="D339" s="483"/>
      <c r="E339" s="484"/>
      <c r="F339" s="484"/>
      <c r="G339" s="484"/>
      <c r="H339" s="485"/>
    </row>
    <row r="340" spans="1:10" ht="15.75" hidden="1" customHeight="1" thickBot="1" x14ac:dyDescent="0.25">
      <c r="B340" s="475" t="s">
        <v>1210</v>
      </c>
      <c r="C340" s="486"/>
      <c r="D340" s="487">
        <f>SUM(D338:D339)</f>
        <v>0</v>
      </c>
      <c r="E340" s="487">
        <f>SUM(E338:E339)</f>
        <v>25256.43</v>
      </c>
      <c r="F340" s="487">
        <f>SUM(F338:F339)</f>
        <v>25256.43</v>
      </c>
      <c r="G340" s="487">
        <f>SUM(G338:G339)</f>
        <v>0</v>
      </c>
      <c r="H340" s="487">
        <f>SUM(H338:H339)</f>
        <v>0</v>
      </c>
    </row>
    <row r="341" spans="1:10" ht="15.75" hidden="1" customHeight="1" thickTop="1" x14ac:dyDescent="0.2">
      <c r="B341" s="475"/>
      <c r="C341" s="325"/>
      <c r="D341" s="476"/>
      <c r="E341" s="488"/>
      <c r="F341" s="488"/>
      <c r="G341" s="488"/>
      <c r="H341" s="483"/>
    </row>
    <row r="342" spans="1:10" ht="15.75" hidden="1" customHeight="1" x14ac:dyDescent="0.2">
      <c r="B342" s="478" t="s">
        <v>1211</v>
      </c>
      <c r="C342" s="325"/>
      <c r="D342" s="476"/>
      <c r="E342" s="488"/>
      <c r="F342" s="488"/>
      <c r="G342" s="488"/>
      <c r="H342" s="484"/>
    </row>
    <row r="343" spans="1:10" ht="15.75" hidden="1" customHeight="1" x14ac:dyDescent="0.2">
      <c r="B343" s="475" t="s">
        <v>1212</v>
      </c>
      <c r="C343" s="325"/>
      <c r="D343" s="476"/>
      <c r="E343" s="488"/>
      <c r="F343" s="488"/>
      <c r="G343" s="488"/>
      <c r="H343" s="484">
        <v>0</v>
      </c>
    </row>
    <row r="344" spans="1:10" ht="15.75" hidden="1" customHeight="1" x14ac:dyDescent="0.2">
      <c r="B344" s="475" t="s">
        <v>1213</v>
      </c>
      <c r="C344" s="325"/>
      <c r="D344" s="476"/>
      <c r="E344" s="488"/>
      <c r="F344" s="488"/>
      <c r="G344" s="488"/>
      <c r="H344" s="472">
        <v>0</v>
      </c>
    </row>
    <row r="345" spans="1:10" ht="15.75" hidden="1" customHeight="1" x14ac:dyDescent="0.2">
      <c r="B345" s="475"/>
      <c r="C345" s="325"/>
      <c r="D345" s="476"/>
      <c r="E345" s="488"/>
      <c r="F345" s="488"/>
      <c r="G345" s="488"/>
      <c r="H345" s="486"/>
    </row>
    <row r="346" spans="1:10" ht="15.75" hidden="1" customHeight="1" thickBot="1" x14ac:dyDescent="0.25">
      <c r="B346" s="475"/>
      <c r="C346" s="325"/>
      <c r="D346" s="476"/>
      <c r="E346" s="488"/>
      <c r="F346" s="488"/>
      <c r="G346" s="488"/>
      <c r="H346" s="487">
        <f>H343-H344</f>
        <v>0</v>
      </c>
    </row>
    <row r="347" spans="1:10" ht="15.75" customHeight="1" x14ac:dyDescent="0.2">
      <c r="B347" s="475"/>
      <c r="C347" s="325"/>
      <c r="D347" s="476"/>
      <c r="E347" s="488"/>
      <c r="F347" s="488"/>
      <c r="G347" s="488"/>
      <c r="H347" s="488"/>
    </row>
    <row r="348" spans="1:10" s="36" customFormat="1" ht="15.75" customHeight="1" x14ac:dyDescent="0.2">
      <c r="A348" s="184">
        <f>+A321+1</f>
        <v>22</v>
      </c>
      <c r="B348" s="178" t="s">
        <v>857</v>
      </c>
      <c r="C348" s="16"/>
      <c r="D348" s="26"/>
      <c r="E348" s="26"/>
      <c r="F348" s="159"/>
      <c r="G348" s="170"/>
      <c r="H348" s="170"/>
    </row>
    <row r="349" spans="1:10" s="36" customFormat="1" ht="15.75" customHeight="1" x14ac:dyDescent="0.2">
      <c r="A349" s="184"/>
      <c r="B349" s="82"/>
      <c r="C349" s="16"/>
      <c r="D349" s="26"/>
      <c r="E349" s="26"/>
      <c r="F349" s="159"/>
      <c r="G349" s="170"/>
      <c r="H349" s="170"/>
    </row>
    <row r="350" spans="1:10" s="36" customFormat="1" ht="34.5" customHeight="1" x14ac:dyDescent="0.2">
      <c r="A350" s="184"/>
      <c r="B350" s="574" t="s">
        <v>1363</v>
      </c>
      <c r="C350" s="574"/>
      <c r="D350" s="574"/>
      <c r="E350" s="574"/>
      <c r="F350" s="574"/>
      <c r="G350" s="574"/>
      <c r="H350" s="574"/>
      <c r="J350" s="61" t="s">
        <v>1223</v>
      </c>
    </row>
    <row r="351" spans="1:10" s="36" customFormat="1" ht="34.5" customHeight="1" x14ac:dyDescent="0.2">
      <c r="A351" s="184"/>
      <c r="B351" s="574" t="s">
        <v>1353</v>
      </c>
      <c r="C351" s="574"/>
      <c r="D351" s="574"/>
      <c r="E351" s="574"/>
      <c r="F351" s="574"/>
      <c r="G351" s="574"/>
      <c r="H351" s="574"/>
      <c r="J351" s="61" t="s">
        <v>1224</v>
      </c>
    </row>
    <row r="352" spans="1:10" s="36" customFormat="1" ht="66.75" customHeight="1" x14ac:dyDescent="0.2">
      <c r="A352" s="184"/>
      <c r="B352" s="575" t="s">
        <v>279</v>
      </c>
      <c r="C352" s="575"/>
      <c r="D352" s="575"/>
      <c r="E352" s="575"/>
      <c r="F352" s="575"/>
      <c r="G352" s="575"/>
      <c r="H352" s="575"/>
      <c r="I352" s="575"/>
    </row>
    <row r="353" spans="1:9" s="36" customFormat="1" ht="15.75" customHeight="1" x14ac:dyDescent="0.2">
      <c r="A353" s="184"/>
      <c r="B353" s="178"/>
      <c r="C353" s="16"/>
      <c r="D353" s="26"/>
      <c r="E353" s="26"/>
      <c r="F353" s="159"/>
      <c r="G353" s="170"/>
      <c r="H353" s="170"/>
    </row>
    <row r="354" spans="1:9" s="36" customFormat="1" ht="80.25" customHeight="1" x14ac:dyDescent="0.2">
      <c r="A354" s="184"/>
      <c r="B354" s="574" t="s">
        <v>275</v>
      </c>
      <c r="C354" s="574"/>
      <c r="D354" s="574"/>
      <c r="E354" s="574"/>
      <c r="F354" s="574"/>
      <c r="G354" s="574"/>
      <c r="H354" s="574"/>
    </row>
    <row r="355" spans="1:9" s="36" customFormat="1" ht="15.75" customHeight="1" x14ac:dyDescent="0.2">
      <c r="A355" s="184"/>
      <c r="B355" s="178"/>
      <c r="C355" s="16"/>
      <c r="D355" s="26"/>
      <c r="E355" s="26"/>
      <c r="F355" s="159"/>
      <c r="G355" s="170"/>
      <c r="H355" s="170"/>
    </row>
    <row r="356" spans="1:9" s="26" customFormat="1" ht="15.75" customHeight="1" x14ac:dyDescent="0.2">
      <c r="A356" s="185"/>
      <c r="B356" s="444"/>
      <c r="C356" s="489"/>
      <c r="D356" s="489"/>
      <c r="E356" s="489"/>
      <c r="F356" s="167"/>
      <c r="G356" s="167"/>
      <c r="H356" s="167"/>
      <c r="I356" s="74"/>
    </row>
    <row r="357" spans="1:9" ht="15.75" customHeight="1" x14ac:dyDescent="0.2">
      <c r="B357" s="444"/>
      <c r="C357" s="490"/>
      <c r="D357" s="490"/>
      <c r="E357" s="490"/>
      <c r="F357" s="165"/>
      <c r="G357" s="165"/>
      <c r="H357" s="165"/>
    </row>
    <row r="358" spans="1:9" ht="15.75" customHeight="1" x14ac:dyDescent="0.2">
      <c r="A358" s="184">
        <f>A348+1</f>
        <v>23</v>
      </c>
      <c r="B358" s="178" t="s">
        <v>858</v>
      </c>
      <c r="C358" s="16"/>
      <c r="D358" s="16"/>
      <c r="E358" s="16"/>
      <c r="F358" s="164"/>
      <c r="G358" s="155"/>
      <c r="H358" s="174"/>
    </row>
    <row r="359" spans="1:9" ht="15.75" customHeight="1" x14ac:dyDescent="0.2">
      <c r="B359" s="178"/>
      <c r="C359" s="16"/>
      <c r="D359" s="16"/>
      <c r="E359" s="16"/>
      <c r="F359" s="164"/>
      <c r="G359" s="155"/>
      <c r="H359" s="29"/>
    </row>
    <row r="360" spans="1:9" ht="15.75" customHeight="1" x14ac:dyDescent="0.2">
      <c r="B360" s="491" t="s">
        <v>276</v>
      </c>
      <c r="C360" s="16"/>
      <c r="D360" s="16"/>
      <c r="E360" s="16"/>
      <c r="F360" s="164"/>
      <c r="G360" s="155"/>
      <c r="H360" s="29"/>
    </row>
    <row r="361" spans="1:9" ht="15.75" customHeight="1" x14ac:dyDescent="0.2">
      <c r="B361" s="178"/>
      <c r="C361" s="16"/>
      <c r="D361" s="16"/>
      <c r="E361" s="16"/>
      <c r="F361" s="164"/>
      <c r="G361" s="155"/>
      <c r="H361" s="29"/>
    </row>
    <row r="362" spans="1:9" ht="15.75" customHeight="1" x14ac:dyDescent="0.2">
      <c r="B362" s="568" t="s">
        <v>1216</v>
      </c>
      <c r="C362" s="569"/>
      <c r="D362" s="569"/>
      <c r="E362" s="569"/>
      <c r="F362" s="569"/>
      <c r="G362" s="569"/>
      <c r="H362" s="29"/>
    </row>
    <row r="363" spans="1:9" ht="15.75" customHeight="1" x14ac:dyDescent="0.2">
      <c r="B363" s="569"/>
      <c r="C363" s="569"/>
      <c r="D363" s="569"/>
      <c r="E363" s="569"/>
      <c r="F363" s="569"/>
      <c r="G363" s="569"/>
      <c r="H363" s="29"/>
    </row>
    <row r="364" spans="1:9" ht="15.75" customHeight="1" x14ac:dyDescent="0.2">
      <c r="B364" s="178"/>
      <c r="C364" s="16"/>
      <c r="D364" s="16"/>
      <c r="E364" s="16"/>
      <c r="F364" s="156">
        <f>'Comprehensive Income'!$C$5</f>
        <v>2018</v>
      </c>
      <c r="G364" s="156">
        <f>'Comprehensive Income'!$E$5</f>
        <v>2017</v>
      </c>
      <c r="H364" s="29"/>
    </row>
    <row r="365" spans="1:9" ht="15.75" customHeight="1" x14ac:dyDescent="0.2">
      <c r="B365" s="178"/>
      <c r="C365" s="16"/>
      <c r="D365" s="16"/>
      <c r="E365" s="16"/>
      <c r="F365" s="161" t="s">
        <v>800</v>
      </c>
      <c r="G365" s="157" t="s">
        <v>800</v>
      </c>
      <c r="H365" s="29"/>
    </row>
    <row r="366" spans="1:9" ht="15.75" customHeight="1" x14ac:dyDescent="0.2">
      <c r="B366" s="178"/>
      <c r="C366" s="16"/>
      <c r="D366" s="16"/>
      <c r="E366" s="16"/>
      <c r="F366" s="161" t="s">
        <v>799</v>
      </c>
      <c r="G366" s="157" t="s">
        <v>799</v>
      </c>
      <c r="H366" s="29"/>
    </row>
    <row r="367" spans="1:9" ht="15.75" customHeight="1" x14ac:dyDescent="0.2">
      <c r="B367" s="180" t="s">
        <v>1217</v>
      </c>
      <c r="C367" s="16"/>
      <c r="D367" s="16"/>
      <c r="E367" s="16"/>
      <c r="F367" s="161"/>
      <c r="G367" s="157"/>
      <c r="H367" s="29"/>
    </row>
    <row r="368" spans="1:9" ht="15.75" customHeight="1" x14ac:dyDescent="0.2">
      <c r="B368" s="492" t="s">
        <v>283</v>
      </c>
      <c r="C368" s="16"/>
      <c r="D368" s="16"/>
      <c r="E368" s="16"/>
      <c r="F368" s="493">
        <f>+F109</f>
        <v>9242</v>
      </c>
      <c r="G368" s="493">
        <v>8040</v>
      </c>
      <c r="H368" s="29"/>
    </row>
    <row r="369" spans="1:8" ht="15.75" customHeight="1" x14ac:dyDescent="0.2">
      <c r="B369" s="492" t="s">
        <v>1218</v>
      </c>
      <c r="C369" s="16"/>
      <c r="D369" s="16"/>
      <c r="E369" s="16"/>
      <c r="F369" s="494">
        <v>0.21</v>
      </c>
      <c r="G369" s="495">
        <v>0.18</v>
      </c>
      <c r="H369" s="29"/>
    </row>
    <row r="370" spans="1:8" ht="15.75" customHeight="1" x14ac:dyDescent="0.2">
      <c r="B370" s="178"/>
      <c r="C370" s="16"/>
      <c r="D370" s="16"/>
      <c r="E370" s="16"/>
      <c r="F370" s="161"/>
      <c r="G370" s="157"/>
      <c r="H370" s="29"/>
    </row>
    <row r="371" spans="1:8" ht="15.75" customHeight="1" x14ac:dyDescent="0.2">
      <c r="B371" s="180" t="s">
        <v>1219</v>
      </c>
      <c r="C371" s="16"/>
      <c r="D371" s="16"/>
      <c r="E371" s="16"/>
      <c r="F371" s="161"/>
      <c r="G371" s="157"/>
      <c r="H371" s="29"/>
    </row>
    <row r="372" spans="1:8" ht="15.75" customHeight="1" x14ac:dyDescent="0.2">
      <c r="B372" s="154" t="s">
        <v>283</v>
      </c>
      <c r="C372" s="16"/>
      <c r="D372" s="16"/>
      <c r="E372" s="16"/>
      <c r="F372" s="493">
        <v>460383</v>
      </c>
      <c r="G372" s="493">
        <v>454034</v>
      </c>
      <c r="H372" s="29"/>
    </row>
    <row r="373" spans="1:8" ht="15.75" customHeight="1" x14ac:dyDescent="0.2">
      <c r="B373" s="154" t="s">
        <v>1220</v>
      </c>
      <c r="C373" s="16"/>
      <c r="D373" s="16"/>
      <c r="E373" s="16"/>
      <c r="F373" s="494">
        <v>4</v>
      </c>
      <c r="G373" s="494">
        <v>4</v>
      </c>
      <c r="H373" s="29"/>
    </row>
    <row r="374" spans="1:8" ht="15.75" customHeight="1" x14ac:dyDescent="0.2">
      <c r="B374" s="492"/>
      <c r="C374" s="16"/>
      <c r="D374" s="16"/>
      <c r="E374" s="16"/>
      <c r="F374" s="496"/>
      <c r="G374" s="496"/>
      <c r="H374" s="29"/>
    </row>
    <row r="375" spans="1:8" ht="15.75" customHeight="1" x14ac:dyDescent="0.2">
      <c r="B375" s="492"/>
      <c r="C375" s="16"/>
      <c r="D375" s="16"/>
      <c r="E375" s="16"/>
      <c r="F375" s="497">
        <f>+F369+F373</f>
        <v>4.21</v>
      </c>
      <c r="G375" s="497">
        <f>+G369+G373</f>
        <v>4.18</v>
      </c>
      <c r="H375" s="29"/>
    </row>
    <row r="376" spans="1:8" ht="15.75" customHeight="1" thickBot="1" x14ac:dyDescent="0.25">
      <c r="B376" s="178"/>
      <c r="C376" s="16"/>
      <c r="D376" s="16"/>
      <c r="E376" s="16"/>
      <c r="F376" s="498">
        <f>F368+F372</f>
        <v>469625</v>
      </c>
      <c r="G376" s="498">
        <f>G368+G372</f>
        <v>462074</v>
      </c>
      <c r="H376" s="29"/>
    </row>
    <row r="377" spans="1:8" ht="15.75" customHeight="1" thickTop="1" x14ac:dyDescent="0.2">
      <c r="B377" s="178"/>
      <c r="C377" s="16"/>
      <c r="D377" s="16"/>
      <c r="E377" s="16"/>
      <c r="F377" s="155"/>
      <c r="G377" s="155"/>
      <c r="H377" s="29"/>
    </row>
    <row r="378" spans="1:8" ht="15.75" customHeight="1" x14ac:dyDescent="0.2">
      <c r="B378" s="183"/>
      <c r="C378" s="16"/>
      <c r="D378" s="16"/>
      <c r="E378" s="16"/>
      <c r="F378" s="164"/>
      <c r="G378" s="155"/>
      <c r="H378" s="29"/>
    </row>
    <row r="379" spans="1:8" s="53" customFormat="1" ht="15.75" customHeight="1" x14ac:dyDescent="0.2">
      <c r="A379" s="191"/>
      <c r="B379" s="568" t="s">
        <v>1221</v>
      </c>
      <c r="C379" s="569"/>
      <c r="D379" s="569"/>
      <c r="E379" s="569"/>
      <c r="F379" s="569"/>
      <c r="G379" s="569"/>
      <c r="H379" s="162"/>
    </row>
    <row r="380" spans="1:8" s="53" customFormat="1" ht="39" customHeight="1" x14ac:dyDescent="0.2">
      <c r="A380" s="191"/>
      <c r="B380" s="569"/>
      <c r="C380" s="569"/>
      <c r="D380" s="569"/>
      <c r="E380" s="569"/>
      <c r="F380" s="569"/>
      <c r="G380" s="569"/>
      <c r="H380" s="162"/>
    </row>
    <row r="381" spans="1:8" s="16" customFormat="1" ht="15.75" customHeight="1" x14ac:dyDescent="0.2">
      <c r="A381" s="184"/>
      <c r="B381" s="499" t="s">
        <v>846</v>
      </c>
      <c r="C381" s="500"/>
      <c r="D381" s="500"/>
      <c r="E381" s="501"/>
      <c r="F381" s="502"/>
      <c r="G381" s="502"/>
      <c r="H381" s="155"/>
    </row>
    <row r="382" spans="1:8" s="16" customFormat="1" ht="15.75" customHeight="1" x14ac:dyDescent="0.2">
      <c r="A382" s="184"/>
      <c r="B382" s="503" t="s">
        <v>280</v>
      </c>
      <c r="C382" s="500"/>
      <c r="D382" s="500"/>
      <c r="E382" s="501"/>
      <c r="F382" s="502"/>
      <c r="G382" s="502"/>
      <c r="H382" s="155"/>
    </row>
    <row r="383" spans="1:8" s="16" customFormat="1" ht="15.75" customHeight="1" x14ac:dyDescent="0.2">
      <c r="A383" s="184"/>
      <c r="B383" s="503"/>
      <c r="C383" s="500"/>
      <c r="D383" s="500"/>
      <c r="E383" s="501"/>
      <c r="F383" s="502"/>
      <c r="G383" s="502"/>
      <c r="H383" s="155"/>
    </row>
    <row r="384" spans="1:8" s="16" customFormat="1" ht="15.75" customHeight="1" x14ac:dyDescent="0.2">
      <c r="A384" s="184"/>
      <c r="B384" s="503"/>
      <c r="C384" s="500"/>
      <c r="D384" s="500"/>
      <c r="F384" s="156">
        <f>'Comprehensive Income'!$C$5</f>
        <v>2018</v>
      </c>
      <c r="G384" s="156">
        <f>'Comprehensive Income'!$E$5</f>
        <v>2017</v>
      </c>
      <c r="H384" s="155"/>
    </row>
    <row r="385" spans="1:10" s="16" customFormat="1" ht="15.75" customHeight="1" x14ac:dyDescent="0.2">
      <c r="A385" s="184"/>
      <c r="B385" s="492"/>
      <c r="C385" s="53"/>
      <c r="D385" s="53"/>
      <c r="F385" s="161" t="s">
        <v>800</v>
      </c>
      <c r="G385" s="157" t="s">
        <v>800</v>
      </c>
      <c r="H385" s="155"/>
    </row>
    <row r="386" spans="1:10" s="16" customFormat="1" ht="15.75" customHeight="1" x14ac:dyDescent="0.2">
      <c r="A386" s="184"/>
      <c r="B386" s="492" t="s">
        <v>975</v>
      </c>
      <c r="C386" s="53"/>
      <c r="D386" s="53"/>
      <c r="F386" s="504" t="s">
        <v>817</v>
      </c>
      <c r="G386" s="171" t="s">
        <v>817</v>
      </c>
      <c r="H386" s="155"/>
      <c r="J386" s="361"/>
    </row>
    <row r="387" spans="1:10" s="16" customFormat="1" ht="15.75" customHeight="1" x14ac:dyDescent="0.2">
      <c r="A387" s="184"/>
      <c r="B387" s="492" t="s">
        <v>973</v>
      </c>
      <c r="D387" s="53"/>
      <c r="F387" s="484" t="s">
        <v>391</v>
      </c>
      <c r="G387" s="484" t="s">
        <v>391</v>
      </c>
      <c r="H387" s="155"/>
    </row>
    <row r="388" spans="1:10" s="16" customFormat="1" ht="15.75" customHeight="1" x14ac:dyDescent="0.2">
      <c r="A388" s="184"/>
      <c r="B388" s="505" t="s">
        <v>974</v>
      </c>
      <c r="D388" s="53"/>
      <c r="F388" s="484" t="s">
        <v>1261</v>
      </c>
      <c r="G388" s="484" t="s">
        <v>1261</v>
      </c>
      <c r="H388" s="155"/>
    </row>
    <row r="389" spans="1:10" s="16" customFormat="1" ht="15.75" customHeight="1" x14ac:dyDescent="0.2">
      <c r="A389" s="184"/>
      <c r="B389" s="505" t="s">
        <v>998</v>
      </c>
      <c r="D389" s="53"/>
      <c r="F389" s="168" t="s">
        <v>818</v>
      </c>
      <c r="G389" s="168" t="s">
        <v>818</v>
      </c>
      <c r="H389" s="155"/>
    </row>
    <row r="390" spans="1:10" s="16" customFormat="1" ht="15.75" customHeight="1" x14ac:dyDescent="0.2">
      <c r="A390" s="184"/>
      <c r="B390" s="492"/>
      <c r="C390" s="53"/>
      <c r="D390" s="53"/>
      <c r="E390" s="506"/>
      <c r="F390" s="507"/>
      <c r="G390" s="507"/>
      <c r="H390" s="155"/>
    </row>
    <row r="391" spans="1:10" s="16" customFormat="1" ht="15.75" customHeight="1" x14ac:dyDescent="0.2">
      <c r="A391" s="184"/>
      <c r="B391" s="499" t="s">
        <v>972</v>
      </c>
      <c r="C391" s="508"/>
      <c r="D391" s="508"/>
      <c r="E391" s="509"/>
      <c r="F391" s="510"/>
      <c r="G391" s="511"/>
      <c r="H391" s="155"/>
    </row>
    <row r="392" spans="1:10" s="16" customFormat="1" ht="15.75" customHeight="1" x14ac:dyDescent="0.2">
      <c r="A392" s="184"/>
      <c r="B392" s="154" t="s">
        <v>281</v>
      </c>
      <c r="C392" s="500"/>
      <c r="D392" s="500"/>
      <c r="F392" s="164"/>
      <c r="G392" s="164"/>
      <c r="H392" s="155"/>
    </row>
    <row r="393" spans="1:10" s="16" customFormat="1" ht="24.75" customHeight="1" x14ac:dyDescent="0.2">
      <c r="A393" s="184"/>
      <c r="B393" s="154"/>
      <c r="C393" s="500"/>
      <c r="D393" s="500"/>
      <c r="E393" s="156" t="s">
        <v>283</v>
      </c>
      <c r="F393" s="156">
        <f>'Comprehensive Income'!$C$5</f>
        <v>2018</v>
      </c>
      <c r="G393" s="156">
        <f>'Comprehensive Income'!$E$5</f>
        <v>2017</v>
      </c>
      <c r="H393" s="155"/>
    </row>
    <row r="394" spans="1:10" s="16" customFormat="1" ht="15.75" customHeight="1" x14ac:dyDescent="0.2">
      <c r="A394" s="184"/>
      <c r="B394" s="154"/>
      <c r="C394" s="500"/>
      <c r="D394" s="500"/>
      <c r="E394" s="512" t="s">
        <v>817</v>
      </c>
      <c r="F394" s="156" t="s">
        <v>282</v>
      </c>
      <c r="G394" s="156" t="s">
        <v>282</v>
      </c>
      <c r="H394" s="155"/>
    </row>
    <row r="395" spans="1:10" s="16" customFormat="1" ht="15.75" customHeight="1" x14ac:dyDescent="0.2">
      <c r="A395" s="184"/>
      <c r="B395" s="154"/>
      <c r="C395" s="500"/>
      <c r="D395" s="500"/>
      <c r="E395" s="484" t="s">
        <v>981</v>
      </c>
      <c r="F395" s="484">
        <v>3</v>
      </c>
      <c r="G395" s="484">
        <v>4</v>
      </c>
      <c r="H395" s="155"/>
    </row>
    <row r="396" spans="1:10" s="16" customFormat="1" ht="15.75" customHeight="1" x14ac:dyDescent="0.2">
      <c r="A396" s="184"/>
      <c r="B396" s="154"/>
      <c r="C396" s="500"/>
      <c r="D396" s="500"/>
      <c r="E396" s="484" t="s">
        <v>1262</v>
      </c>
      <c r="F396" s="484">
        <v>1</v>
      </c>
      <c r="G396" s="484">
        <v>1</v>
      </c>
      <c r="H396" s="155"/>
    </row>
    <row r="397" spans="1:10" s="16" customFormat="1" ht="15.75" customHeight="1" thickBot="1" x14ac:dyDescent="0.25">
      <c r="A397" s="184"/>
      <c r="B397" s="154"/>
      <c r="C397" s="500"/>
      <c r="D397" s="500"/>
      <c r="E397" s="484"/>
      <c r="F397" s="513">
        <f>SUM(F395:F396)</f>
        <v>4</v>
      </c>
      <c r="G397" s="513">
        <f>SUM(G395:G396)</f>
        <v>5</v>
      </c>
      <c r="H397" s="155"/>
      <c r="J397" s="361"/>
    </row>
    <row r="398" spans="1:10" s="16" customFormat="1" ht="15.75" customHeight="1" thickTop="1" x14ac:dyDescent="0.2">
      <c r="A398" s="184"/>
      <c r="B398" s="176"/>
      <c r="C398" s="8"/>
      <c r="D398" s="8"/>
      <c r="F398" s="164"/>
      <c r="G398" s="164"/>
      <c r="H398" s="155"/>
    </row>
    <row r="399" spans="1:10" s="16" customFormat="1" ht="15.75" customHeight="1" x14ac:dyDescent="0.2">
      <c r="A399" s="184"/>
      <c r="B399" s="82" t="s">
        <v>990</v>
      </c>
      <c r="C399" s="57"/>
      <c r="D399" s="57"/>
      <c r="E399" s="57"/>
      <c r="F399" s="514"/>
      <c r="G399" s="164"/>
      <c r="H399" s="155"/>
    </row>
    <row r="400" spans="1:10" s="16" customFormat="1" ht="15.75" customHeight="1" x14ac:dyDescent="0.2">
      <c r="A400" s="184"/>
      <c r="B400" s="176"/>
      <c r="C400" s="8"/>
      <c r="D400" s="8"/>
      <c r="F400" s="164"/>
      <c r="G400" s="164"/>
      <c r="H400" s="155"/>
      <c r="I400" s="63"/>
    </row>
    <row r="401" spans="1:10" s="16" customFormat="1" ht="15.75" customHeight="1" x14ac:dyDescent="0.2">
      <c r="A401" s="184"/>
      <c r="B401" s="176"/>
      <c r="C401" s="8"/>
      <c r="D401" s="8"/>
      <c r="F401" s="164"/>
      <c r="G401" s="164"/>
      <c r="H401" s="155"/>
    </row>
    <row r="402" spans="1:10" s="16" customFormat="1" ht="15.75" customHeight="1" x14ac:dyDescent="0.25">
      <c r="A402" s="184">
        <f>A358+1</f>
        <v>24</v>
      </c>
      <c r="B402" s="182" t="s">
        <v>859</v>
      </c>
      <c r="C402" s="11"/>
      <c r="D402" s="11"/>
      <c r="E402" s="64"/>
      <c r="F402" s="144"/>
      <c r="G402" s="144"/>
      <c r="H402" s="515"/>
      <c r="J402" s="361"/>
    </row>
    <row r="403" spans="1:10" s="16" customFormat="1" ht="15.75" customHeight="1" x14ac:dyDescent="0.2">
      <c r="A403" s="184"/>
      <c r="B403" s="175"/>
      <c r="C403" s="11"/>
      <c r="D403" s="11"/>
      <c r="E403" s="64"/>
      <c r="F403" s="144"/>
      <c r="G403" s="144"/>
      <c r="H403" s="515"/>
    </row>
    <row r="404" spans="1:10" s="16" customFormat="1" ht="15.75" customHeight="1" x14ac:dyDescent="0.2">
      <c r="A404" s="184"/>
      <c r="B404" s="576" t="s">
        <v>992</v>
      </c>
      <c r="C404" s="576"/>
      <c r="D404" s="576"/>
      <c r="E404" s="576"/>
      <c r="F404" s="576"/>
      <c r="G404" s="576"/>
      <c r="H404" s="576"/>
    </row>
    <row r="405" spans="1:10" s="16" customFormat="1" ht="15.75" customHeight="1" x14ac:dyDescent="0.2">
      <c r="A405" s="184"/>
      <c r="B405" s="576"/>
      <c r="C405" s="576"/>
      <c r="D405" s="576"/>
      <c r="E405" s="576"/>
      <c r="F405" s="576"/>
      <c r="G405" s="576"/>
      <c r="H405" s="576"/>
    </row>
    <row r="406" spans="1:10" s="53" customFormat="1" ht="15.75" customHeight="1" x14ac:dyDescent="0.2">
      <c r="A406" s="191"/>
      <c r="B406" s="576"/>
      <c r="C406" s="576"/>
      <c r="D406" s="576"/>
      <c r="E406" s="576"/>
      <c r="F406" s="576"/>
      <c r="G406" s="576"/>
      <c r="H406" s="576"/>
    </row>
    <row r="407" spans="1:10" s="53" customFormat="1" ht="15.75" customHeight="1" x14ac:dyDescent="0.2">
      <c r="A407" s="191"/>
      <c r="B407" s="516"/>
      <c r="C407" s="517"/>
      <c r="D407" s="517"/>
      <c r="E407" s="517"/>
      <c r="F407" s="518"/>
      <c r="G407" s="519"/>
      <c r="H407" s="520"/>
    </row>
    <row r="408" spans="1:10" ht="15.75" customHeight="1" x14ac:dyDescent="0.2">
      <c r="B408" s="457"/>
      <c r="C408" s="61"/>
      <c r="D408" s="61"/>
      <c r="E408" s="11"/>
      <c r="F408" s="156">
        <f>'Comprehensive Income'!$C$5</f>
        <v>2018</v>
      </c>
      <c r="G408" s="156">
        <f>'Comprehensive Income'!$E$5</f>
        <v>2017</v>
      </c>
      <c r="H408" s="521"/>
    </row>
    <row r="409" spans="1:10" ht="15.75" customHeight="1" x14ac:dyDescent="0.2">
      <c r="B409" s="457"/>
      <c r="C409" s="61"/>
      <c r="D409" s="61"/>
      <c r="E409" s="11"/>
      <c r="F409" s="65" t="s">
        <v>800</v>
      </c>
      <c r="G409" s="163" t="s">
        <v>800</v>
      </c>
      <c r="H409" s="521"/>
    </row>
    <row r="410" spans="1:10" ht="15.75" customHeight="1" x14ac:dyDescent="0.2">
      <c r="B410" s="457"/>
      <c r="C410" s="61"/>
      <c r="D410" s="61"/>
      <c r="E410" s="11"/>
      <c r="F410" s="65"/>
      <c r="G410" s="163"/>
      <c r="H410" s="521"/>
    </row>
    <row r="411" spans="1:10" ht="15.75" customHeight="1" x14ac:dyDescent="0.2">
      <c r="B411" s="175" t="s">
        <v>971</v>
      </c>
      <c r="C411" s="11"/>
      <c r="D411" s="65"/>
      <c r="E411" s="11"/>
      <c r="F411" s="168" t="s">
        <v>818</v>
      </c>
      <c r="G411" s="168" t="s">
        <v>818</v>
      </c>
      <c r="H411" s="169"/>
    </row>
    <row r="412" spans="1:10" s="53" customFormat="1" ht="15.75" customHeight="1" x14ac:dyDescent="0.2">
      <c r="A412" s="191"/>
      <c r="B412" s="175" t="s">
        <v>810</v>
      </c>
      <c r="C412" s="43"/>
      <c r="D412" s="58"/>
      <c r="E412" s="11"/>
      <c r="F412" s="168" t="s">
        <v>818</v>
      </c>
      <c r="G412" s="168" t="s">
        <v>818</v>
      </c>
      <c r="H412" s="169"/>
    </row>
    <row r="413" spans="1:10" s="26" customFormat="1" ht="15.75" hidden="1" customHeight="1" x14ac:dyDescent="0.2">
      <c r="A413" s="185"/>
      <c r="B413" s="176"/>
      <c r="C413" s="8"/>
      <c r="D413" s="8"/>
      <c r="E413" s="8"/>
      <c r="F413" s="162"/>
      <c r="G413" s="29"/>
      <c r="H413" s="162"/>
    </row>
    <row r="414" spans="1:10" s="26" customFormat="1" ht="15.75" hidden="1" customHeight="1" x14ac:dyDescent="0.2">
      <c r="A414" s="185"/>
      <c r="B414" s="32" t="s">
        <v>1263</v>
      </c>
      <c r="C414" s="8"/>
      <c r="D414" s="8"/>
      <c r="E414" s="8"/>
      <c r="F414" s="162"/>
      <c r="G414" s="29"/>
      <c r="H414" s="162"/>
    </row>
    <row r="415" spans="1:10" ht="15.75" hidden="1" customHeight="1" x14ac:dyDescent="0.2">
      <c r="B415" s="175" t="s">
        <v>971</v>
      </c>
      <c r="C415" s="11"/>
      <c r="D415" s="65"/>
      <c r="E415" s="11"/>
      <c r="F415" s="168" t="s">
        <v>818</v>
      </c>
      <c r="G415" s="168" t="s">
        <v>818</v>
      </c>
      <c r="H415" s="169"/>
    </row>
    <row r="416" spans="1:10" s="53" customFormat="1" ht="15.75" hidden="1" customHeight="1" x14ac:dyDescent="0.2">
      <c r="A416" s="191"/>
      <c r="B416" s="175" t="s">
        <v>810</v>
      </c>
      <c r="C416" s="43"/>
      <c r="D416" s="58"/>
      <c r="E416" s="11"/>
      <c r="F416" s="168" t="s">
        <v>818</v>
      </c>
      <c r="G416" s="168" t="s">
        <v>818</v>
      </c>
      <c r="H416" s="169"/>
    </row>
    <row r="417" spans="1:13" s="26" customFormat="1" ht="6.75" hidden="1" customHeight="1" x14ac:dyDescent="0.2">
      <c r="A417" s="185"/>
      <c r="B417" s="154"/>
      <c r="C417" s="8"/>
      <c r="D417" s="8"/>
      <c r="E417" s="8"/>
      <c r="F417" s="162"/>
      <c r="G417" s="29"/>
      <c r="H417" s="162"/>
    </row>
    <row r="418" spans="1:13" s="26" customFormat="1" ht="15.75" hidden="1" customHeight="1" x14ac:dyDescent="0.2">
      <c r="A418" s="185"/>
      <c r="B418" s="574" t="s">
        <v>1264</v>
      </c>
      <c r="C418" s="574"/>
      <c r="D418" s="574"/>
      <c r="E418" s="574"/>
      <c r="F418" s="574"/>
      <c r="G418" s="574"/>
      <c r="H418" s="574"/>
      <c r="I418" s="574"/>
    </row>
    <row r="419" spans="1:13" s="26" customFormat="1" ht="15.75" hidden="1" customHeight="1" x14ac:dyDescent="0.2">
      <c r="A419" s="185"/>
      <c r="B419" s="574"/>
      <c r="C419" s="574"/>
      <c r="D419" s="574"/>
      <c r="E419" s="574"/>
      <c r="F419" s="574"/>
      <c r="G419" s="574"/>
      <c r="H419" s="574"/>
      <c r="I419" s="574"/>
    </row>
    <row r="420" spans="1:13" s="26" customFormat="1" ht="15.75" customHeight="1" x14ac:dyDescent="0.2">
      <c r="A420" s="185"/>
      <c r="B420" s="444"/>
      <c r="C420" s="444"/>
      <c r="D420" s="444"/>
      <c r="E420" s="444"/>
      <c r="F420" s="444"/>
      <c r="G420" s="444"/>
      <c r="H420" s="444"/>
      <c r="I420" s="444"/>
    </row>
    <row r="421" spans="1:13" s="26" customFormat="1" ht="15.75" customHeight="1" x14ac:dyDescent="0.2">
      <c r="A421" s="184">
        <f>A402+1</f>
        <v>25</v>
      </c>
      <c r="B421" s="178" t="s">
        <v>860</v>
      </c>
      <c r="C421" s="16"/>
      <c r="D421" s="16"/>
      <c r="E421" s="16"/>
      <c r="F421" s="164"/>
      <c r="G421" s="155"/>
      <c r="H421" s="170"/>
      <c r="J421" s="361"/>
      <c r="M421" s="26" t="s">
        <v>1014</v>
      </c>
    </row>
    <row r="422" spans="1:13" s="26" customFormat="1" ht="15.75" customHeight="1" x14ac:dyDescent="0.2">
      <c r="A422" s="184"/>
      <c r="B422" s="178"/>
      <c r="C422" s="16"/>
      <c r="D422" s="16"/>
      <c r="E422" s="16"/>
      <c r="F422" s="164"/>
      <c r="G422" s="155"/>
      <c r="H422" s="170"/>
    </row>
    <row r="423" spans="1:13" s="26" customFormat="1" ht="15.75" customHeight="1" x14ac:dyDescent="0.2">
      <c r="A423" s="184"/>
      <c r="B423" s="154" t="s">
        <v>1349</v>
      </c>
      <c r="C423" s="16"/>
      <c r="D423" s="16"/>
      <c r="E423" s="16"/>
      <c r="F423" s="164"/>
      <c r="G423" s="155"/>
      <c r="H423" s="170"/>
    </row>
    <row r="424" spans="1:13" s="26" customFormat="1" ht="15.75" customHeight="1" x14ac:dyDescent="0.2">
      <c r="A424" s="184"/>
      <c r="B424" s="178"/>
      <c r="C424" s="16"/>
      <c r="D424" s="16"/>
      <c r="E424" s="16"/>
      <c r="F424" s="164"/>
      <c r="G424" s="155"/>
      <c r="H424" s="170"/>
    </row>
    <row r="425" spans="1:13" s="26" customFormat="1" ht="97.5" customHeight="1" x14ac:dyDescent="0.2">
      <c r="A425" s="185"/>
      <c r="B425" s="568" t="s">
        <v>1364</v>
      </c>
      <c r="C425" s="568"/>
      <c r="D425" s="568"/>
      <c r="E425" s="568"/>
      <c r="F425" s="568"/>
      <c r="G425" s="568"/>
      <c r="H425" s="568"/>
    </row>
    <row r="426" spans="1:13" s="26" customFormat="1" ht="14.25" customHeight="1" x14ac:dyDescent="0.2">
      <c r="A426" s="185"/>
      <c r="B426" s="533"/>
      <c r="C426" s="533"/>
      <c r="D426" s="533"/>
      <c r="E426" s="533"/>
      <c r="F426" s="533"/>
      <c r="G426" s="533"/>
      <c r="H426" s="533"/>
    </row>
    <row r="427" spans="1:13" s="26" customFormat="1" ht="15.75" customHeight="1" x14ac:dyDescent="0.2">
      <c r="A427" s="184">
        <f>A421+1</f>
        <v>26</v>
      </c>
      <c r="B427" s="178" t="s">
        <v>861</v>
      </c>
      <c r="C427" s="16"/>
      <c r="D427" s="16"/>
      <c r="E427" s="31"/>
      <c r="F427" s="155"/>
      <c r="G427" s="155"/>
      <c r="H427" s="170"/>
      <c r="J427" s="361"/>
    </row>
    <row r="428" spans="1:13" s="26" customFormat="1" ht="15.75" customHeight="1" x14ac:dyDescent="0.2">
      <c r="A428" s="185"/>
      <c r="B428" s="522"/>
      <c r="C428" s="522"/>
      <c r="D428" s="522"/>
      <c r="E428" s="522"/>
      <c r="F428" s="523"/>
      <c r="G428" s="524"/>
      <c r="H428" s="170"/>
    </row>
    <row r="429" spans="1:13" s="26" customFormat="1" ht="15.75" customHeight="1" x14ac:dyDescent="0.2">
      <c r="A429" s="185"/>
      <c r="B429" s="457" t="s">
        <v>816</v>
      </c>
      <c r="C429" s="443"/>
      <c r="D429" s="443"/>
      <c r="E429" s="443"/>
      <c r="F429" s="525"/>
      <c r="G429" s="526"/>
      <c r="H429" s="170"/>
      <c r="J429" s="10"/>
    </row>
    <row r="430" spans="1:13" s="26" customFormat="1" ht="15.75" customHeight="1" x14ac:dyDescent="0.2">
      <c r="A430" s="185"/>
      <c r="B430" s="32"/>
      <c r="C430" s="61"/>
      <c r="D430" s="61"/>
      <c r="E430" s="62"/>
      <c r="F430" s="156"/>
      <c r="G430" s="156"/>
      <c r="H430" s="170"/>
    </row>
    <row r="431" spans="1:13" s="26" customFormat="1" ht="15.75" customHeight="1" x14ac:dyDescent="0.2">
      <c r="A431" s="185"/>
      <c r="B431" s="574" t="s">
        <v>1366</v>
      </c>
      <c r="C431" s="574"/>
      <c r="D431" s="574"/>
      <c r="E431" s="574"/>
      <c r="F431" s="574"/>
      <c r="G431" s="574"/>
      <c r="H431" s="574"/>
      <c r="I431" s="574"/>
    </row>
    <row r="432" spans="1:13" s="26" customFormat="1" ht="15.75" customHeight="1" x14ac:dyDescent="0.2">
      <c r="A432" s="185"/>
      <c r="B432" s="574"/>
      <c r="C432" s="574"/>
      <c r="D432" s="574"/>
      <c r="E432" s="574"/>
      <c r="F432" s="574"/>
      <c r="G432" s="574"/>
      <c r="H432" s="574"/>
      <c r="I432" s="574"/>
    </row>
    <row r="433" spans="1:9" s="26" customFormat="1" ht="26.25" customHeight="1" x14ac:dyDescent="0.2">
      <c r="A433" s="185"/>
      <c r="B433" s="568" t="s">
        <v>1365</v>
      </c>
      <c r="C433" s="568"/>
      <c r="D433" s="568"/>
      <c r="E433" s="568"/>
      <c r="F433" s="568"/>
      <c r="G433" s="568"/>
      <c r="H433" s="568"/>
      <c r="I433" s="568"/>
    </row>
    <row r="434" spans="1:9" s="26" customFormat="1" ht="33" customHeight="1" x14ac:dyDescent="0.2">
      <c r="A434" s="185"/>
      <c r="B434" s="568" t="s">
        <v>1350</v>
      </c>
      <c r="C434" s="568"/>
      <c r="D434" s="568"/>
      <c r="E434" s="568"/>
      <c r="F434" s="568"/>
      <c r="G434" s="568"/>
      <c r="H434" s="568"/>
    </row>
    <row r="435" spans="1:9" s="26" customFormat="1" ht="15.75" customHeight="1" x14ac:dyDescent="0.2">
      <c r="A435" s="185"/>
      <c r="B435" s="443"/>
      <c r="C435" s="408"/>
      <c r="D435" s="408"/>
      <c r="E435" s="408"/>
      <c r="F435" s="525"/>
      <c r="G435" s="525"/>
      <c r="H435" s="165"/>
    </row>
    <row r="436" spans="1:9" s="26" customFormat="1" ht="15.75" customHeight="1" x14ac:dyDescent="0.2">
      <c r="A436" s="185"/>
      <c r="B436" s="32" t="s">
        <v>843</v>
      </c>
      <c r="C436" s="8"/>
      <c r="D436" s="8"/>
      <c r="E436" s="28"/>
      <c r="F436" s="28"/>
      <c r="G436" s="28"/>
      <c r="H436" s="170"/>
    </row>
    <row r="437" spans="1:9" s="26" customFormat="1" ht="15.75" customHeight="1" x14ac:dyDescent="0.2">
      <c r="A437" s="185"/>
      <c r="B437" s="32"/>
      <c r="C437" s="8"/>
      <c r="D437" s="8"/>
      <c r="E437" s="28"/>
      <c r="F437" s="28"/>
      <c r="G437" s="28"/>
      <c r="H437" s="170"/>
    </row>
    <row r="438" spans="1:9" s="26" customFormat="1" ht="15.75" customHeight="1" x14ac:dyDescent="0.2">
      <c r="A438" s="185"/>
      <c r="B438" s="566" t="s">
        <v>1351</v>
      </c>
      <c r="C438" s="567"/>
      <c r="D438" s="567"/>
      <c r="E438" s="567"/>
      <c r="F438" s="567"/>
      <c r="G438" s="567"/>
      <c r="H438" s="170"/>
    </row>
    <row r="439" spans="1:9" s="26" customFormat="1" ht="15.75" customHeight="1" x14ac:dyDescent="0.2">
      <c r="A439" s="185"/>
      <c r="B439" s="443"/>
      <c r="C439" s="408"/>
      <c r="D439" s="408"/>
      <c r="E439" s="408"/>
      <c r="F439" s="525"/>
      <c r="G439" s="525"/>
      <c r="H439" s="170"/>
    </row>
    <row r="440" spans="1:9" s="26" customFormat="1" ht="15.75" customHeight="1" x14ac:dyDescent="0.2">
      <c r="A440" s="185"/>
      <c r="B440" s="154" t="s">
        <v>868</v>
      </c>
      <c r="C440" s="408"/>
      <c r="D440" s="408"/>
      <c r="E440" s="408"/>
      <c r="F440" s="525"/>
      <c r="G440" s="525"/>
      <c r="H440" s="170"/>
    </row>
    <row r="441" spans="1:9" s="26" customFormat="1" ht="15.75" customHeight="1" x14ac:dyDescent="0.2">
      <c r="A441" s="185"/>
      <c r="B441" s="154" t="s">
        <v>1225</v>
      </c>
      <c r="F441" s="156">
        <f>'Comprehensive Income'!$C$5</f>
        <v>2018</v>
      </c>
      <c r="G441" s="156">
        <f>'Comprehensive Income'!$E$5</f>
        <v>2017</v>
      </c>
      <c r="H441" s="170"/>
    </row>
    <row r="442" spans="1:9" s="26" customFormat="1" ht="15.75" customHeight="1" x14ac:dyDescent="0.2">
      <c r="A442" s="185"/>
      <c r="B442" s="154"/>
      <c r="F442" s="161" t="s">
        <v>800</v>
      </c>
      <c r="G442" s="157" t="s">
        <v>800</v>
      </c>
      <c r="H442" s="170"/>
    </row>
    <row r="443" spans="1:9" ht="15.75" customHeight="1" x14ac:dyDescent="0.2">
      <c r="B443" s="154"/>
      <c r="C443" s="26"/>
      <c r="D443" s="26"/>
      <c r="E443" s="26"/>
      <c r="F443" s="161" t="s">
        <v>799</v>
      </c>
      <c r="G443" s="157" t="s">
        <v>799</v>
      </c>
      <c r="H443" s="170"/>
    </row>
    <row r="444" spans="1:9" s="26" customFormat="1" ht="15.75" customHeight="1" x14ac:dyDescent="0.2">
      <c r="A444" s="185"/>
      <c r="B444" s="176" t="s">
        <v>824</v>
      </c>
      <c r="C444" s="8"/>
      <c r="D444" s="8"/>
      <c r="F444" s="527">
        <v>44199</v>
      </c>
      <c r="G444" s="527">
        <v>198158</v>
      </c>
      <c r="H444" s="170"/>
    </row>
    <row r="445" spans="1:9" s="26" customFormat="1" ht="15.75" customHeight="1" x14ac:dyDescent="0.2">
      <c r="A445" s="185"/>
      <c r="B445" s="176" t="s">
        <v>825</v>
      </c>
      <c r="C445" s="8"/>
      <c r="D445" s="8"/>
      <c r="E445" s="8"/>
      <c r="F445" s="168" t="s">
        <v>818</v>
      </c>
      <c r="G445" s="528">
        <v>44199</v>
      </c>
      <c r="H445" s="29"/>
    </row>
    <row r="446" spans="1:9" s="26" customFormat="1" ht="15.75" hidden="1" customHeight="1" x14ac:dyDescent="0.2">
      <c r="A446" s="185"/>
      <c r="B446" s="176" t="s">
        <v>826</v>
      </c>
      <c r="C446" s="8"/>
      <c r="D446" s="8"/>
      <c r="F446" s="528"/>
      <c r="G446" s="528"/>
      <c r="H446" s="170"/>
    </row>
    <row r="447" spans="1:9" s="26" customFormat="1" ht="15.75" customHeight="1" thickBot="1" x14ac:dyDescent="0.25">
      <c r="A447" s="185"/>
      <c r="B447" s="176"/>
      <c r="C447" s="8"/>
      <c r="D447" s="8"/>
      <c r="F447" s="529">
        <f>SUM(F444:F445)</f>
        <v>44199</v>
      </c>
      <c r="G447" s="529">
        <f>SUM(G444:G446)</f>
        <v>242357</v>
      </c>
      <c r="H447" s="170"/>
    </row>
    <row r="448" spans="1:9" s="26" customFormat="1" ht="15.75" customHeight="1" thickTop="1" x14ac:dyDescent="0.2">
      <c r="A448" s="185"/>
      <c r="B448" s="176"/>
      <c r="C448" s="8"/>
      <c r="D448" s="8"/>
      <c r="E448" s="530"/>
      <c r="F448" s="28"/>
      <c r="G448" s="28"/>
      <c r="H448" s="170"/>
    </row>
    <row r="449" spans="1:15" s="26" customFormat="1" ht="15.75" customHeight="1" x14ac:dyDescent="0.2">
      <c r="A449" s="184">
        <f>+A427+1</f>
        <v>27</v>
      </c>
      <c r="B449" s="178" t="s">
        <v>285</v>
      </c>
      <c r="E449" s="49"/>
      <c r="F449" s="42"/>
      <c r="G449" s="42"/>
      <c r="H449" s="170"/>
    </row>
    <row r="450" spans="1:15" s="26" customFormat="1" ht="70.5" customHeight="1" x14ac:dyDescent="0.2">
      <c r="A450" s="185"/>
      <c r="B450" s="574" t="s">
        <v>286</v>
      </c>
      <c r="C450" s="574"/>
      <c r="D450" s="574"/>
      <c r="E450" s="574"/>
      <c r="F450" s="574"/>
      <c r="G450" s="574"/>
      <c r="H450" s="574"/>
    </row>
    <row r="451" spans="1:15" s="26" customFormat="1" ht="15.75" customHeight="1" x14ac:dyDescent="0.2">
      <c r="A451" s="185"/>
      <c r="B451" s="154"/>
      <c r="E451" s="49"/>
      <c r="F451" s="42"/>
      <c r="G451" s="42"/>
      <c r="H451" s="170"/>
    </row>
    <row r="452" spans="1:15" s="26" customFormat="1" ht="15.75" customHeight="1" x14ac:dyDescent="0.2">
      <c r="A452" s="184">
        <f>+A449+1</f>
        <v>28</v>
      </c>
      <c r="B452" s="178" t="s">
        <v>1222</v>
      </c>
      <c r="E452" s="49"/>
      <c r="F452" s="42"/>
      <c r="G452" s="42"/>
      <c r="H452" s="170"/>
    </row>
    <row r="453" spans="1:15" s="26" customFormat="1" ht="15.75" customHeight="1" x14ac:dyDescent="0.2">
      <c r="A453" s="185"/>
      <c r="B453" s="154"/>
      <c r="E453" s="49"/>
      <c r="F453" s="42"/>
      <c r="G453" s="42"/>
      <c r="H453" s="170"/>
    </row>
    <row r="454" spans="1:15" s="26" customFormat="1" ht="15.75" customHeight="1" x14ac:dyDescent="0.2">
      <c r="A454" s="185"/>
      <c r="B454" s="154" t="s">
        <v>287</v>
      </c>
      <c r="E454" s="49"/>
      <c r="F454" s="42"/>
      <c r="G454" s="42"/>
      <c r="H454" s="170"/>
    </row>
    <row r="455" spans="1:15" s="26" customFormat="1" ht="15.75" customHeight="1" x14ac:dyDescent="0.2">
      <c r="A455" s="185"/>
      <c r="B455" s="154"/>
      <c r="E455" s="49"/>
      <c r="F455" s="42"/>
      <c r="G455" s="42"/>
      <c r="H455" s="170"/>
    </row>
    <row r="456" spans="1:15" s="26" customFormat="1" ht="15.75" customHeight="1" x14ac:dyDescent="0.2">
      <c r="A456" s="185"/>
      <c r="B456" s="32" t="s">
        <v>288</v>
      </c>
      <c r="E456" s="49"/>
      <c r="F456" s="42"/>
      <c r="G456" s="42"/>
      <c r="H456" s="170"/>
    </row>
    <row r="457" spans="1:15" s="26" customFormat="1" ht="15.75" customHeight="1" x14ac:dyDescent="0.2">
      <c r="A457" s="185"/>
      <c r="B457" s="154"/>
      <c r="E457" s="49"/>
      <c r="F457" s="156">
        <f>'Comprehensive Income'!$C$5</f>
        <v>2018</v>
      </c>
      <c r="G457" s="156">
        <f>'Comprehensive Income'!$D$5</f>
        <v>2018</v>
      </c>
      <c r="H457" s="156">
        <f>'Comprehensive Income'!$E$5</f>
        <v>2017</v>
      </c>
    </row>
    <row r="458" spans="1:15" s="26" customFormat="1" ht="15.75" customHeight="1" x14ac:dyDescent="0.2">
      <c r="A458" s="185"/>
      <c r="B458" s="154"/>
      <c r="E458" s="49"/>
      <c r="F458" s="161" t="s">
        <v>800</v>
      </c>
      <c r="G458" s="157" t="s">
        <v>801</v>
      </c>
      <c r="H458" s="157" t="s">
        <v>800</v>
      </c>
    </row>
    <row r="459" spans="1:15" s="26" customFormat="1" ht="15.75" customHeight="1" x14ac:dyDescent="0.2">
      <c r="A459" s="185"/>
      <c r="B459" s="154"/>
      <c r="E459" s="49"/>
      <c r="F459" s="161"/>
      <c r="G459" s="171" t="s">
        <v>366</v>
      </c>
      <c r="H459" s="157"/>
    </row>
    <row r="460" spans="1:15" s="26" customFormat="1" ht="15.75" customHeight="1" x14ac:dyDescent="0.2">
      <c r="A460" s="185"/>
      <c r="B460" s="154"/>
      <c r="E460" s="49"/>
      <c r="F460" s="161" t="s">
        <v>799</v>
      </c>
      <c r="G460" s="157" t="s">
        <v>799</v>
      </c>
      <c r="H460" s="157" t="s">
        <v>799</v>
      </c>
      <c r="O460" s="26" t="s">
        <v>1014</v>
      </c>
    </row>
    <row r="461" spans="1:15" s="26" customFormat="1" ht="15.75" customHeight="1" x14ac:dyDescent="0.2">
      <c r="A461" s="185"/>
      <c r="B461" s="154"/>
      <c r="E461" s="49"/>
      <c r="F461" s="42"/>
      <c r="G461" s="42"/>
      <c r="H461" s="170"/>
    </row>
    <row r="462" spans="1:15" s="26" customFormat="1" ht="15.75" customHeight="1" x14ac:dyDescent="0.2">
      <c r="A462" s="185"/>
      <c r="B462" s="154" t="s">
        <v>840</v>
      </c>
      <c r="E462" s="49"/>
      <c r="F462" s="42">
        <f>+F164</f>
        <v>7131473</v>
      </c>
      <c r="G462" s="42">
        <f>+G164</f>
        <v>1600677</v>
      </c>
      <c r="H462" s="42">
        <f>+H164</f>
        <v>2723520</v>
      </c>
      <c r="J462" s="361"/>
    </row>
    <row r="463" spans="1:15" s="26" customFormat="1" ht="15.75" customHeight="1" x14ac:dyDescent="0.2">
      <c r="A463" s="185"/>
      <c r="B463" s="154" t="s">
        <v>289</v>
      </c>
      <c r="E463" s="49"/>
      <c r="F463" s="42">
        <f>+F180</f>
        <v>1312254.92</v>
      </c>
      <c r="G463" s="42">
        <v>1105201</v>
      </c>
      <c r="H463" s="42">
        <v>983286</v>
      </c>
      <c r="J463" s="361"/>
    </row>
    <row r="464" spans="1:15" s="26" customFormat="1" ht="15.75" customHeight="1" x14ac:dyDescent="0.2">
      <c r="A464" s="185"/>
      <c r="B464" s="154" t="s">
        <v>290</v>
      </c>
      <c r="E464" s="49"/>
      <c r="F464" s="42">
        <f>+F201+F205</f>
        <v>2626043</v>
      </c>
      <c r="G464" s="42">
        <v>2854693</v>
      </c>
      <c r="H464" s="42">
        <v>6101371</v>
      </c>
      <c r="J464" s="361"/>
    </row>
    <row r="465" spans="1:10" s="26" customFormat="1" ht="15.75" customHeight="1" x14ac:dyDescent="0.2">
      <c r="A465" s="185"/>
      <c r="B465" s="154"/>
      <c r="E465" s="49"/>
      <c r="F465" s="42"/>
      <c r="G465" s="42"/>
      <c r="H465" s="170"/>
    </row>
    <row r="466" spans="1:10" s="26" customFormat="1" ht="15.75" customHeight="1" thickBot="1" x14ac:dyDescent="0.25">
      <c r="A466" s="185"/>
      <c r="B466" s="154" t="s">
        <v>295</v>
      </c>
      <c r="E466" s="49"/>
      <c r="F466" s="333">
        <f>SUM(F461:F464)</f>
        <v>11069770.92</v>
      </c>
      <c r="G466" s="333">
        <f>SUM(G461:G464)</f>
        <v>5560571</v>
      </c>
      <c r="H466" s="333">
        <f>SUM(H461:H464)</f>
        <v>9808177</v>
      </c>
    </row>
    <row r="467" spans="1:10" s="26" customFormat="1" ht="15.75" customHeight="1" thickTop="1" x14ac:dyDescent="0.2">
      <c r="A467" s="185"/>
      <c r="B467" s="154"/>
      <c r="E467" s="49"/>
      <c r="F467" s="42"/>
      <c r="G467" s="42"/>
      <c r="H467" s="170"/>
    </row>
    <row r="468" spans="1:10" s="26" customFormat="1" ht="15.75" customHeight="1" x14ac:dyDescent="0.2">
      <c r="A468" s="185"/>
      <c r="B468" s="32" t="s">
        <v>291</v>
      </c>
      <c r="E468" s="49"/>
      <c r="F468" s="42"/>
      <c r="G468" s="42"/>
      <c r="H468" s="170"/>
    </row>
    <row r="469" spans="1:10" s="26" customFormat="1" ht="15.75" customHeight="1" x14ac:dyDescent="0.2">
      <c r="A469" s="185"/>
      <c r="B469" s="154"/>
      <c r="E469" s="49"/>
      <c r="F469" s="42"/>
      <c r="G469" s="42"/>
      <c r="H469" s="170"/>
    </row>
    <row r="470" spans="1:10" s="26" customFormat="1" ht="15.75" customHeight="1" x14ac:dyDescent="0.2">
      <c r="A470" s="185"/>
      <c r="B470" s="154" t="s">
        <v>292</v>
      </c>
      <c r="E470" s="49"/>
      <c r="F470" s="42">
        <f>+F267</f>
        <v>910467</v>
      </c>
      <c r="G470" s="42">
        <v>984716</v>
      </c>
      <c r="H470" s="484">
        <f>+H267</f>
        <v>875632</v>
      </c>
    </row>
    <row r="471" spans="1:10" s="26" customFormat="1" ht="15.75" hidden="1" customHeight="1" x14ac:dyDescent="0.2">
      <c r="A471" s="185"/>
      <c r="B471" s="154" t="s">
        <v>293</v>
      </c>
      <c r="E471" s="49"/>
      <c r="F471" s="337">
        <v>0</v>
      </c>
      <c r="G471" s="337">
        <v>0</v>
      </c>
      <c r="H471" s="337">
        <v>0</v>
      </c>
    </row>
    <row r="472" spans="1:10" s="26" customFormat="1" ht="15.75" customHeight="1" x14ac:dyDescent="0.2">
      <c r="A472" s="185"/>
      <c r="B472" s="154" t="s">
        <v>294</v>
      </c>
      <c r="E472" s="49"/>
      <c r="F472" s="337">
        <v>141315</v>
      </c>
      <c r="G472" s="337">
        <v>0</v>
      </c>
      <c r="H472" s="337">
        <v>117707</v>
      </c>
    </row>
    <row r="473" spans="1:10" s="26" customFormat="1" ht="15.75" customHeight="1" x14ac:dyDescent="0.2">
      <c r="A473" s="185"/>
      <c r="B473" s="154"/>
      <c r="E473" s="49"/>
      <c r="F473" s="42"/>
      <c r="G473" s="42"/>
      <c r="H473" s="170"/>
    </row>
    <row r="474" spans="1:10" s="26" customFormat="1" ht="15.75" customHeight="1" thickBot="1" x14ac:dyDescent="0.25">
      <c r="A474" s="185"/>
      <c r="B474" s="154" t="s">
        <v>296</v>
      </c>
      <c r="E474" s="49"/>
      <c r="F474" s="333">
        <f>SUM(F470:F473)</f>
        <v>1051782</v>
      </c>
      <c r="G474" s="333">
        <f>SUM(G470:G473)</f>
        <v>984716</v>
      </c>
      <c r="H474" s="333">
        <f>SUM(H470:H473)</f>
        <v>993339</v>
      </c>
    </row>
    <row r="475" spans="1:10" s="26" customFormat="1" ht="15.75" customHeight="1" thickTop="1" x14ac:dyDescent="0.2">
      <c r="A475" s="185"/>
      <c r="B475" s="154"/>
      <c r="E475" s="49"/>
      <c r="F475" s="42"/>
      <c r="G475" s="42"/>
      <c r="H475" s="170"/>
    </row>
    <row r="476" spans="1:10" s="26" customFormat="1" ht="15.75" customHeight="1" x14ac:dyDescent="0.2">
      <c r="A476" s="185"/>
      <c r="B476" s="154"/>
      <c r="E476" s="49"/>
      <c r="F476" s="42"/>
      <c r="G476" s="42"/>
      <c r="H476" s="170"/>
    </row>
    <row r="477" spans="1:10" s="26" customFormat="1" ht="15.75" customHeight="1" x14ac:dyDescent="0.2">
      <c r="A477" s="184">
        <f>+A452+1</f>
        <v>29</v>
      </c>
      <c r="B477" s="178" t="s">
        <v>284</v>
      </c>
      <c r="E477" s="49"/>
      <c r="F477" s="42"/>
      <c r="G477" s="42"/>
      <c r="H477" s="170"/>
      <c r="J477" s="361"/>
    </row>
    <row r="479" spans="1:10" ht="15.75" customHeight="1" x14ac:dyDescent="0.2">
      <c r="B479" s="175" t="s">
        <v>862</v>
      </c>
    </row>
    <row r="480" spans="1:10" ht="15.75" customHeight="1" x14ac:dyDescent="0.2">
      <c r="B480" s="154" t="s">
        <v>1352</v>
      </c>
    </row>
    <row r="482" spans="1:13" ht="15.75" customHeight="1" x14ac:dyDescent="0.2">
      <c r="A482" s="184"/>
      <c r="B482" s="178"/>
      <c r="C482" s="26"/>
    </row>
    <row r="483" spans="1:13" ht="15.75" customHeight="1" x14ac:dyDescent="0.2">
      <c r="J483" s="83"/>
      <c r="K483" s="77"/>
      <c r="L483" s="77"/>
      <c r="M483" s="77"/>
    </row>
    <row r="484" spans="1:13" ht="15.75" customHeight="1" x14ac:dyDescent="0.2">
      <c r="B484" s="154"/>
      <c r="J484" s="77"/>
      <c r="K484" s="77"/>
      <c r="L484" s="77"/>
      <c r="M484" s="77"/>
    </row>
    <row r="485" spans="1:13" ht="19.5" customHeight="1" x14ac:dyDescent="0.2">
      <c r="B485" s="574"/>
      <c r="C485" s="574"/>
      <c r="D485" s="574"/>
      <c r="E485" s="574"/>
      <c r="F485" s="574"/>
      <c r="G485" s="574"/>
      <c r="H485" s="574"/>
      <c r="J485" s="77"/>
      <c r="K485" s="77"/>
      <c r="L485" s="77"/>
      <c r="M485" s="77"/>
    </row>
    <row r="486" spans="1:13" ht="15.75" customHeight="1" x14ac:dyDescent="0.2">
      <c r="B486" s="154"/>
      <c r="J486" s="77"/>
      <c r="K486" s="77"/>
      <c r="L486" s="77"/>
      <c r="M486" s="77"/>
    </row>
  </sheetData>
  <customSheetViews>
    <customSheetView guid="{2F1C2500-C7E9-11D7-BAB9-00065B3658C6}" showGridLines="0" showRuler="0" topLeftCell="A195">
      <selection activeCell="B227" sqref="B227"/>
      <rowBreaks count="5" manualBreakCount="5">
        <brk id="54" max="16383" man="1"/>
        <brk id="110" max="9" man="1"/>
        <brk id="117" max="16383" man="1"/>
        <brk id="173" max="16383" man="1"/>
        <brk id="229" max="16383" man="1"/>
      </rowBreaks>
      <pageMargins left="0.25" right="0.25" top="0.5" bottom="0.5" header="0.511811023622047" footer="0.511811023622047"/>
      <pageSetup paperSize="9" orientation="portrait" verticalDpi="0" r:id="rId1"/>
      <headerFooter alignWithMargins="0"/>
    </customSheetView>
    <customSheetView guid="{16158AC0-BDC0-11D7-BABA-AD30328A5118}" showPageBreaks="1" showGridLines="0" printArea="1" showRuler="0" topLeftCell="A216">
      <selection activeCell="B227" sqref="B227"/>
      <rowBreaks count="5" manualBreakCount="5">
        <brk id="54" max="16383" man="1"/>
        <brk id="110" max="9" man="1"/>
        <brk id="117" max="16383" man="1"/>
        <brk id="173" max="16383" man="1"/>
        <brk id="229" max="16383" man="1"/>
      </rowBreaks>
      <pageMargins left="0.25" right="0.25" top="0.5" bottom="0.5" header="0.511811023622047" footer="0.511811023622047"/>
      <pageSetup paperSize="9" orientation="portrait" verticalDpi="0" r:id="rId2"/>
      <headerFooter alignWithMargins="0"/>
    </customSheetView>
  </customSheetViews>
  <mergeCells count="23">
    <mergeCell ref="B485:H485"/>
    <mergeCell ref="B352:I352"/>
    <mergeCell ref="B362:G363"/>
    <mergeCell ref="B450:H450"/>
    <mergeCell ref="B354:H354"/>
    <mergeCell ref="B404:H406"/>
    <mergeCell ref="B418:I419"/>
    <mergeCell ref="B433:I433"/>
    <mergeCell ref="K17:M17"/>
    <mergeCell ref="B139:I139"/>
    <mergeCell ref="B438:G438"/>
    <mergeCell ref="B379:G380"/>
    <mergeCell ref="B307:H308"/>
    <mergeCell ref="B323:H323"/>
    <mergeCell ref="G333:G336"/>
    <mergeCell ref="B168:H168"/>
    <mergeCell ref="B304:H304"/>
    <mergeCell ref="B350:H350"/>
    <mergeCell ref="B351:H351"/>
    <mergeCell ref="G325:G328"/>
    <mergeCell ref="B431:I432"/>
    <mergeCell ref="B434:H434"/>
    <mergeCell ref="B425:H425"/>
  </mergeCells>
  <phoneticPr fontId="16" type="noConversion"/>
  <pageMargins left="0.39370078740157483" right="0.39370078740157483" top="0.74803149606299213" bottom="0.74803149606299213" header="0.31496062992125984" footer="0.31496062992125984"/>
  <pageSetup paperSize="9" scale="63" orientation="portrait" r:id="rId3"/>
  <headerFooter>
    <oddFooter>&amp;C&amp;P</oddFooter>
  </headerFooter>
  <rowBreaks count="8" manualBreakCount="8">
    <brk id="64" max="8" man="1"/>
    <brk id="102" max="8" man="1"/>
    <brk id="154" max="8" man="1"/>
    <brk id="209" max="8" man="1"/>
    <brk id="278" max="8" man="1"/>
    <brk id="347" max="8" man="1"/>
    <brk id="401" max="8" man="1"/>
    <brk id="448" max="8" man="1"/>
  </rowBreaks>
  <ignoredErrors>
    <ignoredError sqref="F386:G38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22"/>
  <sheetViews>
    <sheetView workbookViewId="0">
      <selection activeCell="B112" sqref="B112"/>
    </sheetView>
  </sheetViews>
  <sheetFormatPr defaultRowHeight="12.75" x14ac:dyDescent="0.2"/>
  <cols>
    <col min="1" max="1" width="12.5703125" customWidth="1"/>
    <col min="2" max="2" width="31.28515625" customWidth="1"/>
    <col min="3" max="3" width="10.7109375" style="26" bestFit="1" customWidth="1"/>
    <col min="4" max="5" width="10.7109375" style="25" bestFit="1" customWidth="1"/>
  </cols>
  <sheetData>
    <row r="1" spans="1:8" s="338" customFormat="1" x14ac:dyDescent="0.2">
      <c r="C1" s="445"/>
    </row>
    <row r="2" spans="1:8" s="338" customFormat="1" ht="22.5" x14ac:dyDescent="0.3">
      <c r="A2" s="339" t="s">
        <v>351</v>
      </c>
      <c r="B2" s="339"/>
      <c r="C2" s="445"/>
      <c r="F2" s="340" t="s">
        <v>85</v>
      </c>
      <c r="G2" s="340"/>
    </row>
    <row r="3" spans="1:8" s="338" customFormat="1" ht="22.5" x14ac:dyDescent="0.3">
      <c r="A3" s="577" t="s">
        <v>86</v>
      </c>
      <c r="B3" s="577"/>
      <c r="C3" s="577"/>
      <c r="D3" s="577"/>
      <c r="E3" s="577"/>
      <c r="F3" s="577"/>
      <c r="G3" s="341"/>
      <c r="H3" s="341"/>
    </row>
    <row r="4" spans="1:8" s="338" customFormat="1" ht="9" customHeight="1" x14ac:dyDescent="0.3">
      <c r="C4" s="445"/>
      <c r="H4" s="340"/>
    </row>
    <row r="5" spans="1:8" x14ac:dyDescent="0.2">
      <c r="A5" s="1"/>
      <c r="B5" s="1"/>
      <c r="C5" s="62">
        <v>2018</v>
      </c>
      <c r="D5" s="62">
        <v>2018</v>
      </c>
      <c r="E5" s="71">
        <v>2017</v>
      </c>
    </row>
    <row r="6" spans="1:8" x14ac:dyDescent="0.2">
      <c r="A6" s="1"/>
      <c r="B6" s="1"/>
      <c r="C6" s="62" t="s">
        <v>800</v>
      </c>
      <c r="D6" s="62" t="s">
        <v>801</v>
      </c>
      <c r="E6" s="71" t="s">
        <v>800</v>
      </c>
    </row>
    <row r="7" spans="1:8" x14ac:dyDescent="0.2">
      <c r="A7" s="1" t="s">
        <v>87</v>
      </c>
      <c r="D7" s="26"/>
    </row>
    <row r="8" spans="1:8" x14ac:dyDescent="0.2">
      <c r="A8" t="s">
        <v>88</v>
      </c>
      <c r="D8" s="26"/>
    </row>
    <row r="9" spans="1:8" x14ac:dyDescent="0.2">
      <c r="A9" s="342" t="s">
        <v>89</v>
      </c>
      <c r="C9" s="48"/>
      <c r="D9" s="48"/>
      <c r="E9" s="436"/>
    </row>
    <row r="10" spans="1:8" x14ac:dyDescent="0.2">
      <c r="A10" s="342"/>
      <c r="B10" t="s">
        <v>415</v>
      </c>
      <c r="C10" s="48">
        <v>882086</v>
      </c>
      <c r="D10" s="48">
        <v>828076</v>
      </c>
      <c r="E10" s="48">
        <v>1039884</v>
      </c>
      <c r="F10" s="357"/>
    </row>
    <row r="11" spans="1:8" x14ac:dyDescent="0.2">
      <c r="A11" t="s">
        <v>90</v>
      </c>
      <c r="B11" t="s">
        <v>426</v>
      </c>
      <c r="C11" s="48">
        <v>7036714</v>
      </c>
      <c r="D11" s="48">
        <v>6777670</v>
      </c>
      <c r="E11" s="48">
        <v>6524695</v>
      </c>
      <c r="F11" s="357"/>
    </row>
    <row r="12" spans="1:8" x14ac:dyDescent="0.2">
      <c r="A12" t="s">
        <v>91</v>
      </c>
      <c r="B12" t="s">
        <v>92</v>
      </c>
      <c r="C12" s="48"/>
      <c r="D12" s="48"/>
      <c r="E12" s="48"/>
      <c r="G12" t="s">
        <v>93</v>
      </c>
    </row>
    <row r="13" spans="1:8" x14ac:dyDescent="0.2">
      <c r="A13" t="s">
        <v>91</v>
      </c>
      <c r="B13" t="s">
        <v>94</v>
      </c>
      <c r="C13" s="48"/>
      <c r="D13" s="48"/>
      <c r="E13" s="48"/>
      <c r="G13" t="s">
        <v>95</v>
      </c>
    </row>
    <row r="14" spans="1:8" x14ac:dyDescent="0.2">
      <c r="A14" t="s">
        <v>91</v>
      </c>
      <c r="B14" t="s">
        <v>96</v>
      </c>
      <c r="C14" s="48">
        <v>-320</v>
      </c>
      <c r="D14" s="48"/>
      <c r="E14" s="48">
        <v>-14720</v>
      </c>
      <c r="F14" s="357"/>
      <c r="G14" t="s">
        <v>97</v>
      </c>
    </row>
    <row r="15" spans="1:8" x14ac:dyDescent="0.2">
      <c r="A15" t="s">
        <v>90</v>
      </c>
      <c r="B15" t="s">
        <v>98</v>
      </c>
      <c r="C15" s="48">
        <v>249776</v>
      </c>
      <c r="D15" s="48"/>
      <c r="E15" s="48">
        <v>288850</v>
      </c>
      <c r="F15" s="357"/>
    </row>
    <row r="16" spans="1:8" x14ac:dyDescent="0.2">
      <c r="A16" t="s">
        <v>90</v>
      </c>
      <c r="B16" t="s">
        <v>99</v>
      </c>
      <c r="C16" s="48">
        <f>-E17</f>
        <v>48616</v>
      </c>
      <c r="D16" s="48"/>
      <c r="E16" s="48">
        <v>51601</v>
      </c>
      <c r="F16" s="357"/>
      <c r="G16" t="s">
        <v>400</v>
      </c>
    </row>
    <row r="17" spans="1:7" ht="13.5" thickBot="1" x14ac:dyDescent="0.25">
      <c r="A17" t="s">
        <v>91</v>
      </c>
      <c r="B17" t="s">
        <v>100</v>
      </c>
      <c r="C17" s="48">
        <v>-46922</v>
      </c>
      <c r="D17" s="437"/>
      <c r="E17" s="437">
        <v>-48616</v>
      </c>
      <c r="F17" s="357"/>
      <c r="G17" t="s">
        <v>400</v>
      </c>
    </row>
    <row r="18" spans="1:7" x14ac:dyDescent="0.2">
      <c r="A18" s="342" t="s">
        <v>101</v>
      </c>
      <c r="B18" t="s">
        <v>319</v>
      </c>
      <c r="C18" s="48">
        <f>SUM(C10:C17)</f>
        <v>8169950</v>
      </c>
      <c r="D18" s="48">
        <f>SUM(D10:D17)</f>
        <v>7605746</v>
      </c>
      <c r="E18" s="48">
        <f>SUM(E10:E17)</f>
        <v>7841694</v>
      </c>
    </row>
    <row r="19" spans="1:7" ht="9" customHeight="1" x14ac:dyDescent="0.2">
      <c r="C19" s="48"/>
      <c r="D19" s="48"/>
      <c r="E19" s="48"/>
    </row>
    <row r="20" spans="1:7" x14ac:dyDescent="0.2">
      <c r="A20" s="342" t="s">
        <v>102</v>
      </c>
      <c r="C20" s="48"/>
      <c r="D20" s="48"/>
      <c r="E20" s="48"/>
    </row>
    <row r="21" spans="1:7" x14ac:dyDescent="0.2">
      <c r="A21" t="s">
        <v>90</v>
      </c>
      <c r="B21" t="s">
        <v>103</v>
      </c>
      <c r="C21" s="48">
        <v>230900</v>
      </c>
      <c r="D21" s="48">
        <v>252113</v>
      </c>
      <c r="E21" s="48">
        <v>292320</v>
      </c>
    </row>
    <row r="22" spans="1:7" x14ac:dyDescent="0.2">
      <c r="A22" t="s">
        <v>91</v>
      </c>
      <c r="B22" t="s">
        <v>104</v>
      </c>
      <c r="C22" s="48">
        <f>-E23</f>
        <v>-30866</v>
      </c>
      <c r="D22" s="48">
        <v>-16856</v>
      </c>
      <c r="E22" s="48">
        <v>-25416</v>
      </c>
      <c r="F22" s="357"/>
    </row>
    <row r="23" spans="1:7" x14ac:dyDescent="0.2">
      <c r="A23" t="s">
        <v>90</v>
      </c>
      <c r="B23" t="s">
        <v>105</v>
      </c>
      <c r="C23" s="48">
        <v>34309</v>
      </c>
      <c r="D23" s="48">
        <f>+E23</f>
        <v>30866</v>
      </c>
      <c r="E23" s="48">
        <v>30866</v>
      </c>
      <c r="F23" s="357"/>
    </row>
    <row r="24" spans="1:7" x14ac:dyDescent="0.2">
      <c r="A24" t="s">
        <v>90</v>
      </c>
      <c r="B24" t="s">
        <v>120</v>
      </c>
      <c r="C24" s="48">
        <v>0</v>
      </c>
      <c r="D24" s="48">
        <v>0</v>
      </c>
      <c r="E24" s="48">
        <v>0</v>
      </c>
      <c r="F24" s="357"/>
      <c r="G24" s="8" t="s">
        <v>401</v>
      </c>
    </row>
    <row r="25" spans="1:7" x14ac:dyDescent="0.2">
      <c r="A25" t="s">
        <v>90</v>
      </c>
      <c r="B25" t="s">
        <v>106</v>
      </c>
      <c r="C25" s="48">
        <f>-E26</f>
        <v>10515</v>
      </c>
      <c r="D25" s="48">
        <v>70171</v>
      </c>
      <c r="E25" s="48">
        <v>44385</v>
      </c>
      <c r="F25" s="357"/>
    </row>
    <row r="26" spans="1:7" ht="13.5" thickBot="1" x14ac:dyDescent="0.25">
      <c r="A26" t="s">
        <v>91</v>
      </c>
      <c r="B26" t="s">
        <v>107</v>
      </c>
      <c r="C26" s="437">
        <v>-87955</v>
      </c>
      <c r="D26" s="437">
        <f>+E26</f>
        <v>-10515</v>
      </c>
      <c r="E26" s="437">
        <v>-10515</v>
      </c>
      <c r="F26" s="357"/>
      <c r="G26" t="s">
        <v>167</v>
      </c>
    </row>
    <row r="27" spans="1:7" x14ac:dyDescent="0.2">
      <c r="A27" s="342" t="s">
        <v>101</v>
      </c>
      <c r="B27" t="s">
        <v>108</v>
      </c>
      <c r="C27" s="48">
        <f>SUM(C21:C26)</f>
        <v>156903</v>
      </c>
      <c r="D27" s="48">
        <f>SUM(D21:D26)</f>
        <v>325779</v>
      </c>
      <c r="E27" s="48">
        <f>SUM(E21:E26)</f>
        <v>331640</v>
      </c>
    </row>
    <row r="28" spans="1:7" ht="9" customHeight="1" x14ac:dyDescent="0.2">
      <c r="C28" s="48"/>
      <c r="D28" s="48"/>
      <c r="E28" s="48"/>
    </row>
    <row r="29" spans="1:7" x14ac:dyDescent="0.2">
      <c r="A29" s="342" t="s">
        <v>109</v>
      </c>
      <c r="C29" s="48"/>
      <c r="D29" s="48"/>
      <c r="E29" s="48"/>
    </row>
    <row r="30" spans="1:7" x14ac:dyDescent="0.2">
      <c r="B30" t="s">
        <v>431</v>
      </c>
      <c r="C30" s="48">
        <v>303683</v>
      </c>
      <c r="D30" s="48">
        <v>140000</v>
      </c>
      <c r="E30" s="48">
        <v>276159</v>
      </c>
    </row>
    <row r="31" spans="1:7" x14ac:dyDescent="0.2">
      <c r="A31" t="s">
        <v>90</v>
      </c>
      <c r="B31" t="s">
        <v>99</v>
      </c>
      <c r="C31" s="48">
        <f>-E32</f>
        <v>48777</v>
      </c>
      <c r="D31" s="48">
        <f>-E32</f>
        <v>48777</v>
      </c>
      <c r="E31" s="48">
        <v>35443</v>
      </c>
      <c r="F31" s="357"/>
    </row>
    <row r="32" spans="1:7" ht="13.5" thickBot="1" x14ac:dyDescent="0.25">
      <c r="A32" t="s">
        <v>91</v>
      </c>
      <c r="B32" t="s">
        <v>100</v>
      </c>
      <c r="C32" s="437">
        <v>-38309</v>
      </c>
      <c r="D32" s="437">
        <f>-D31</f>
        <v>-48777</v>
      </c>
      <c r="E32" s="437">
        <v>-48777</v>
      </c>
      <c r="F32" s="357"/>
    </row>
    <row r="33" spans="1:5" x14ac:dyDescent="0.2">
      <c r="A33" s="342" t="s">
        <v>101</v>
      </c>
      <c r="B33" t="s">
        <v>431</v>
      </c>
      <c r="C33" s="48">
        <f>SUM(C30:C32)</f>
        <v>314151</v>
      </c>
      <c r="D33" s="48">
        <f>SUM(D30:D32)</f>
        <v>140000</v>
      </c>
      <c r="E33" s="48">
        <f>SUM(E30:E32)</f>
        <v>262825</v>
      </c>
    </row>
    <row r="34" spans="1:5" ht="9" customHeight="1" x14ac:dyDescent="0.2">
      <c r="C34" s="48"/>
      <c r="D34" s="48"/>
      <c r="E34" s="48"/>
    </row>
    <row r="35" spans="1:5" hidden="1" x14ac:dyDescent="0.2">
      <c r="A35" s="342" t="s">
        <v>110</v>
      </c>
      <c r="C35" s="48"/>
      <c r="D35" s="48"/>
      <c r="E35" s="48"/>
    </row>
    <row r="36" spans="1:5" hidden="1" x14ac:dyDescent="0.2">
      <c r="A36" t="s">
        <v>90</v>
      </c>
      <c r="B36" t="s">
        <v>111</v>
      </c>
      <c r="C36" s="48"/>
      <c r="D36" s="48"/>
      <c r="E36" s="48"/>
    </row>
    <row r="37" spans="1:5" hidden="1" x14ac:dyDescent="0.2">
      <c r="A37" t="s">
        <v>91</v>
      </c>
      <c r="B37" t="s">
        <v>104</v>
      </c>
      <c r="C37" s="48"/>
      <c r="D37" s="48"/>
      <c r="E37" s="48"/>
    </row>
    <row r="38" spans="1:5" ht="13.5" hidden="1" thickBot="1" x14ac:dyDescent="0.25">
      <c r="A38" t="s">
        <v>90</v>
      </c>
      <c r="B38" t="s">
        <v>105</v>
      </c>
      <c r="C38" s="437"/>
      <c r="D38" s="437"/>
      <c r="E38" s="437"/>
    </row>
    <row r="39" spans="1:5" hidden="1" x14ac:dyDescent="0.2">
      <c r="A39" s="342" t="s">
        <v>101</v>
      </c>
      <c r="B39" t="s">
        <v>385</v>
      </c>
      <c r="C39" s="48">
        <f>SUM(C36:C38)</f>
        <v>0</v>
      </c>
      <c r="D39" s="48">
        <f>SUM(D36:D38)</f>
        <v>0</v>
      </c>
      <c r="E39" s="48">
        <f>SUM(E36:E38)</f>
        <v>0</v>
      </c>
    </row>
    <row r="40" spans="1:5" ht="9" hidden="1" customHeight="1" x14ac:dyDescent="0.2">
      <c r="C40" s="48"/>
      <c r="D40" s="48"/>
      <c r="E40" s="48"/>
    </row>
    <row r="41" spans="1:5" hidden="1" x14ac:dyDescent="0.2">
      <c r="A41" s="342" t="s">
        <v>112</v>
      </c>
      <c r="C41" s="48"/>
      <c r="D41" s="48"/>
      <c r="E41" s="48"/>
    </row>
    <row r="42" spans="1:5" hidden="1" x14ac:dyDescent="0.2">
      <c r="B42" t="s">
        <v>113</v>
      </c>
      <c r="C42" s="48"/>
      <c r="D42" s="48"/>
      <c r="E42" s="48">
        <v>0</v>
      </c>
    </row>
    <row r="43" spans="1:5" hidden="1" x14ac:dyDescent="0.2">
      <c r="A43" t="s">
        <v>91</v>
      </c>
      <c r="B43" t="s">
        <v>104</v>
      </c>
      <c r="C43" s="48"/>
      <c r="D43" s="48"/>
      <c r="E43" s="48">
        <v>0</v>
      </c>
    </row>
    <row r="44" spans="1:5" ht="13.5" hidden="1" thickBot="1" x14ac:dyDescent="0.25">
      <c r="A44" t="s">
        <v>90</v>
      </c>
      <c r="B44" t="s">
        <v>105</v>
      </c>
      <c r="C44" s="437"/>
      <c r="D44" s="437"/>
      <c r="E44" s="437">
        <v>0</v>
      </c>
    </row>
    <row r="45" spans="1:5" hidden="1" x14ac:dyDescent="0.2">
      <c r="B45" t="s">
        <v>113</v>
      </c>
      <c r="C45" s="48">
        <f>SUM(C42:C44)</f>
        <v>0</v>
      </c>
      <c r="D45" s="48">
        <f>SUM(D42:D44)</f>
        <v>0</v>
      </c>
      <c r="E45" s="48">
        <f>SUM(E42:E44)</f>
        <v>0</v>
      </c>
    </row>
    <row r="46" spans="1:5" ht="9" hidden="1" customHeight="1" x14ac:dyDescent="0.2">
      <c r="C46" s="48"/>
      <c r="D46" s="48"/>
      <c r="E46" s="48"/>
    </row>
    <row r="47" spans="1:5" ht="13.5" thickBot="1" x14ac:dyDescent="0.25">
      <c r="A47" t="s">
        <v>114</v>
      </c>
      <c r="C47" s="438">
        <f>SUM(C18+C27+C33+C39+C45)</f>
        <v>8641004</v>
      </c>
      <c r="D47" s="438">
        <f>SUM(D18+D27+D33+D39+D45)</f>
        <v>8071525</v>
      </c>
      <c r="E47" s="438">
        <f>SUM(E18+E27+E33+E39+E45)</f>
        <v>8436159</v>
      </c>
    </row>
    <row r="48" spans="1:5" ht="9" customHeight="1" thickTop="1" x14ac:dyDescent="0.2">
      <c r="C48" s="48"/>
      <c r="D48" s="48"/>
      <c r="E48" s="48"/>
    </row>
    <row r="49" spans="1:7" x14ac:dyDescent="0.2">
      <c r="A49" s="1" t="s">
        <v>115</v>
      </c>
      <c r="C49" s="48"/>
      <c r="D49" s="48"/>
      <c r="E49" s="48"/>
    </row>
    <row r="50" spans="1:7" x14ac:dyDescent="0.2">
      <c r="A50" s="342" t="s">
        <v>116</v>
      </c>
      <c r="C50" s="48">
        <v>19452696</v>
      </c>
      <c r="D50" s="48">
        <v>19677353</v>
      </c>
      <c r="E50" s="48">
        <v>17854807.089999996</v>
      </c>
      <c r="F50" s="357"/>
    </row>
    <row r="51" spans="1:7" x14ac:dyDescent="0.2">
      <c r="A51" t="s">
        <v>91</v>
      </c>
      <c r="B51" t="s">
        <v>807</v>
      </c>
      <c r="C51" s="48">
        <v>-443582</v>
      </c>
      <c r="D51" s="48">
        <v>-381000</v>
      </c>
      <c r="E51" s="48">
        <v>-395909</v>
      </c>
    </row>
    <row r="52" spans="1:7" x14ac:dyDescent="0.2">
      <c r="A52" t="s">
        <v>91</v>
      </c>
      <c r="B52" t="s">
        <v>117</v>
      </c>
      <c r="C52" s="48"/>
      <c r="D52" s="48"/>
      <c r="E52" s="48"/>
    </row>
    <row r="53" spans="1:7" x14ac:dyDescent="0.2">
      <c r="A53" t="s">
        <v>91</v>
      </c>
      <c r="B53" t="s">
        <v>121</v>
      </c>
      <c r="C53" s="48">
        <v>-12992001</v>
      </c>
      <c r="D53" s="48">
        <v>-13243063</v>
      </c>
      <c r="E53" s="48">
        <v>-12000244.15</v>
      </c>
    </row>
    <row r="54" spans="1:7" x14ac:dyDescent="0.2">
      <c r="A54" t="s">
        <v>91</v>
      </c>
      <c r="B54" t="s">
        <v>122</v>
      </c>
      <c r="C54" s="48"/>
      <c r="D54" s="48"/>
      <c r="E54" s="48"/>
    </row>
    <row r="55" spans="1:7" x14ac:dyDescent="0.2">
      <c r="A55" t="s">
        <v>91</v>
      </c>
      <c r="B55" t="s">
        <v>123</v>
      </c>
      <c r="C55" s="48">
        <v>-16811</v>
      </c>
      <c r="D55" s="48">
        <v>-15811</v>
      </c>
      <c r="E55" s="48">
        <v>-22811</v>
      </c>
    </row>
    <row r="56" spans="1:7" x14ac:dyDescent="0.2">
      <c r="A56" t="s">
        <v>91</v>
      </c>
      <c r="B56" t="s">
        <v>124</v>
      </c>
      <c r="C56" s="48"/>
      <c r="D56" s="48"/>
      <c r="E56" s="48"/>
    </row>
    <row r="57" spans="1:7" x14ac:dyDescent="0.2">
      <c r="A57" t="s">
        <v>91</v>
      </c>
      <c r="B57" t="s">
        <v>125</v>
      </c>
      <c r="C57" s="48">
        <v>-2386322</v>
      </c>
      <c r="D57" s="48">
        <v>-1696984</v>
      </c>
      <c r="E57" s="48">
        <v>-2386322</v>
      </c>
    </row>
    <row r="58" spans="1:7" x14ac:dyDescent="0.2">
      <c r="A58" t="s">
        <v>91</v>
      </c>
      <c r="B58" t="s">
        <v>119</v>
      </c>
      <c r="C58" s="48"/>
      <c r="D58" s="48"/>
      <c r="E58" s="48"/>
    </row>
    <row r="59" spans="1:7" x14ac:dyDescent="0.2">
      <c r="A59" t="s">
        <v>91</v>
      </c>
      <c r="B59" t="s">
        <v>92</v>
      </c>
      <c r="C59" s="48"/>
      <c r="D59" s="48"/>
      <c r="E59" s="48"/>
      <c r="G59" t="s">
        <v>93</v>
      </c>
    </row>
    <row r="60" spans="1:7" x14ac:dyDescent="0.2">
      <c r="A60" t="s">
        <v>91</v>
      </c>
      <c r="B60" t="s">
        <v>94</v>
      </c>
      <c r="C60" s="48"/>
      <c r="D60" s="48"/>
      <c r="E60" s="48"/>
      <c r="G60" t="s">
        <v>95</v>
      </c>
    </row>
    <row r="61" spans="1:7" x14ac:dyDescent="0.2">
      <c r="A61" t="s">
        <v>91</v>
      </c>
      <c r="B61" t="s">
        <v>96</v>
      </c>
      <c r="C61" s="48">
        <f>C14</f>
        <v>-320</v>
      </c>
      <c r="D61" s="48">
        <f>D14</f>
        <v>0</v>
      </c>
      <c r="E61" s="48">
        <f>E14</f>
        <v>-14720</v>
      </c>
      <c r="G61" t="s">
        <v>97</v>
      </c>
    </row>
    <row r="62" spans="1:7" x14ac:dyDescent="0.2">
      <c r="A62" t="s">
        <v>91</v>
      </c>
      <c r="B62" t="s">
        <v>126</v>
      </c>
      <c r="C62" s="48">
        <v>-8491</v>
      </c>
      <c r="D62" s="48"/>
      <c r="E62" s="48">
        <v>-4441</v>
      </c>
      <c r="F62" s="357"/>
      <c r="G62" t="s">
        <v>127</v>
      </c>
    </row>
    <row r="63" spans="1:7" ht="14.25" x14ac:dyDescent="0.2">
      <c r="A63" t="s">
        <v>91</v>
      </c>
      <c r="B63" t="s">
        <v>128</v>
      </c>
      <c r="C63" s="206">
        <v>12848</v>
      </c>
      <c r="D63" s="384">
        <v>0</v>
      </c>
      <c r="E63" s="206">
        <v>11528</v>
      </c>
    </row>
    <row r="64" spans="1:7" x14ac:dyDescent="0.2">
      <c r="C64" s="48">
        <f>SUM(C50:C63)</f>
        <v>3618017</v>
      </c>
      <c r="D64" s="48">
        <f>SUM(D50:D63)</f>
        <v>4340495</v>
      </c>
      <c r="E64" s="48">
        <f>SUM(E50:E63)</f>
        <v>3041887.9399999958</v>
      </c>
    </row>
    <row r="65" spans="1:7" ht="9" customHeight="1" x14ac:dyDescent="0.2">
      <c r="C65" s="48"/>
      <c r="D65" s="48"/>
      <c r="E65" s="48"/>
    </row>
    <row r="66" spans="1:7" x14ac:dyDescent="0.2">
      <c r="A66" t="s">
        <v>90</v>
      </c>
      <c r="B66" t="s">
        <v>129</v>
      </c>
      <c r="C66" s="48">
        <f>-E67</f>
        <v>117808</v>
      </c>
      <c r="D66" s="48">
        <f>-E67</f>
        <v>117808</v>
      </c>
      <c r="E66" s="48">
        <v>136030</v>
      </c>
      <c r="F66" s="357"/>
      <c r="G66" t="s">
        <v>130</v>
      </c>
    </row>
    <row r="67" spans="1:7" x14ac:dyDescent="0.2">
      <c r="A67" t="s">
        <v>91</v>
      </c>
      <c r="B67" t="s">
        <v>131</v>
      </c>
      <c r="C67" s="48">
        <v>-119758</v>
      </c>
      <c r="D67" s="48">
        <f>+E67</f>
        <v>-117808</v>
      </c>
      <c r="E67" s="48">
        <v>-117808</v>
      </c>
      <c r="F67" s="357"/>
      <c r="G67" t="s">
        <v>132</v>
      </c>
    </row>
    <row r="68" spans="1:7" ht="13.5" thickBot="1" x14ac:dyDescent="0.25">
      <c r="B68" t="s">
        <v>133</v>
      </c>
      <c r="C68" s="437"/>
      <c r="D68" s="437"/>
      <c r="E68" s="437"/>
    </row>
    <row r="69" spans="1:7" x14ac:dyDescent="0.2">
      <c r="C69" s="48">
        <f>SUM(C66:C68)</f>
        <v>-1950</v>
      </c>
      <c r="D69" s="48">
        <f>SUM(D66:D68)</f>
        <v>0</v>
      </c>
      <c r="E69" s="48">
        <f>SUM(E66:E68)</f>
        <v>18222</v>
      </c>
    </row>
    <row r="70" spans="1:7" ht="9" customHeight="1" x14ac:dyDescent="0.2">
      <c r="C70" s="48"/>
      <c r="D70" s="48"/>
      <c r="E70" s="48"/>
    </row>
    <row r="71" spans="1:7" x14ac:dyDescent="0.2">
      <c r="B71" t="s">
        <v>134</v>
      </c>
      <c r="C71" s="48">
        <v>891</v>
      </c>
      <c r="D71" s="48">
        <v>0</v>
      </c>
      <c r="E71" s="48">
        <v>5036</v>
      </c>
      <c r="F71" s="357"/>
    </row>
    <row r="72" spans="1:7" ht="13.5" thickBot="1" x14ac:dyDescent="0.25">
      <c r="B72" t="s">
        <v>135</v>
      </c>
      <c r="C72" s="437">
        <v>-1135</v>
      </c>
      <c r="D72" s="437">
        <v>0</v>
      </c>
      <c r="E72" s="437">
        <v>-392</v>
      </c>
      <c r="F72" s="357"/>
    </row>
    <row r="73" spans="1:7" x14ac:dyDescent="0.2">
      <c r="C73" s="48">
        <f>SUM(C71:C72)</f>
        <v>-244</v>
      </c>
      <c r="D73" s="48">
        <f>SUM(D71:D72)</f>
        <v>0</v>
      </c>
      <c r="E73" s="48">
        <f>SUM(E71:E72)</f>
        <v>4644</v>
      </c>
    </row>
    <row r="74" spans="1:7" ht="9" customHeight="1" x14ac:dyDescent="0.2">
      <c r="C74" s="48"/>
      <c r="D74" s="48"/>
      <c r="E74" s="48"/>
    </row>
    <row r="75" spans="1:7" ht="13.5" thickBot="1" x14ac:dyDescent="0.25">
      <c r="A75" t="s">
        <v>136</v>
      </c>
      <c r="C75" s="438">
        <f>SUM(C64+C69+C73)</f>
        <v>3615823</v>
      </c>
      <c r="D75" s="438">
        <f>SUM(D64+D69+D73)</f>
        <v>4340495</v>
      </c>
      <c r="E75" s="438">
        <f>SUM(E64+E69+E73)</f>
        <v>3064753.9399999958</v>
      </c>
    </row>
    <row r="76" spans="1:7" ht="9" customHeight="1" thickTop="1" x14ac:dyDescent="0.2">
      <c r="C76" s="48"/>
      <c r="D76" s="48"/>
      <c r="E76" s="48"/>
    </row>
    <row r="77" spans="1:7" x14ac:dyDescent="0.2">
      <c r="A77" t="s">
        <v>137</v>
      </c>
      <c r="C77" s="48">
        <v>65685</v>
      </c>
      <c r="D77" s="48">
        <v>0</v>
      </c>
      <c r="E77" s="48">
        <v>-37852</v>
      </c>
      <c r="F77" t="s">
        <v>118</v>
      </c>
      <c r="G77" s="357"/>
    </row>
    <row r="78" spans="1:7" x14ac:dyDescent="0.2">
      <c r="A78" t="s">
        <v>138</v>
      </c>
      <c r="C78" s="48">
        <v>12848</v>
      </c>
      <c r="D78" s="48"/>
      <c r="E78" s="48">
        <v>11528</v>
      </c>
      <c r="G78" s="357"/>
    </row>
    <row r="79" spans="1:7" ht="9" customHeight="1" x14ac:dyDescent="0.2">
      <c r="C79" s="48"/>
      <c r="D79" s="48"/>
      <c r="E79" s="48"/>
    </row>
    <row r="80" spans="1:7" x14ac:dyDescent="0.2">
      <c r="A80" s="342" t="s">
        <v>139</v>
      </c>
      <c r="C80" s="48"/>
      <c r="D80" s="48"/>
      <c r="E80" s="48"/>
    </row>
    <row r="81" spans="1:6" x14ac:dyDescent="0.2">
      <c r="B81" t="s">
        <v>140</v>
      </c>
      <c r="C81" s="48">
        <f>-C53</f>
        <v>12992001</v>
      </c>
      <c r="D81" s="48">
        <f>-D53</f>
        <v>13243063</v>
      </c>
      <c r="E81" s="48">
        <v>12000244</v>
      </c>
      <c r="F81" s="357"/>
    </row>
    <row r="82" spans="1:6" x14ac:dyDescent="0.2">
      <c r="A82" t="s">
        <v>91</v>
      </c>
      <c r="B82" t="s">
        <v>141</v>
      </c>
      <c r="C82" s="48">
        <v>-9507797</v>
      </c>
      <c r="D82" s="48">
        <v>-8850000</v>
      </c>
      <c r="E82" s="48">
        <v>-8755014</v>
      </c>
    </row>
    <row r="83" spans="1:6" x14ac:dyDescent="0.2">
      <c r="A83" t="s">
        <v>90</v>
      </c>
      <c r="B83" t="s">
        <v>129</v>
      </c>
      <c r="C83" s="48">
        <f>-E84</f>
        <v>126143</v>
      </c>
      <c r="D83" s="48">
        <v>126143</v>
      </c>
      <c r="E83" s="48">
        <v>100878</v>
      </c>
      <c r="F83" s="357"/>
    </row>
    <row r="84" spans="1:6" ht="13.5" thickBot="1" x14ac:dyDescent="0.25">
      <c r="A84" t="s">
        <v>91</v>
      </c>
      <c r="B84" t="s">
        <v>131</v>
      </c>
      <c r="C84" s="437">
        <v>-114382</v>
      </c>
      <c r="D84" s="437">
        <f>+E84</f>
        <v>-126143</v>
      </c>
      <c r="E84" s="437">
        <v>-126143</v>
      </c>
      <c r="F84" s="357"/>
    </row>
    <row r="85" spans="1:6" x14ac:dyDescent="0.2">
      <c r="A85" s="342" t="s">
        <v>101</v>
      </c>
      <c r="B85" t="s">
        <v>142</v>
      </c>
      <c r="C85" s="48">
        <f>SUM(C81:C84)</f>
        <v>3495965</v>
      </c>
      <c r="D85" s="48">
        <f>SUM(D81:D84)</f>
        <v>4393063</v>
      </c>
      <c r="E85" s="48">
        <f>SUM(E81:E84)</f>
        <v>3219965</v>
      </c>
    </row>
    <row r="86" spans="1:6" ht="9" customHeight="1" x14ac:dyDescent="0.2">
      <c r="C86" s="48"/>
      <c r="D86" s="48"/>
      <c r="E86" s="48"/>
    </row>
    <row r="87" spans="1:6" x14ac:dyDescent="0.2">
      <c r="A87" s="342" t="s">
        <v>143</v>
      </c>
      <c r="C87" s="48"/>
      <c r="D87" s="48"/>
      <c r="E87" s="48"/>
    </row>
    <row r="88" spans="1:6" x14ac:dyDescent="0.2">
      <c r="A88" t="s">
        <v>144</v>
      </c>
      <c r="B88" t="s">
        <v>145</v>
      </c>
      <c r="C88" s="48"/>
      <c r="D88" s="48"/>
      <c r="E88" s="48"/>
    </row>
    <row r="89" spans="1:6" x14ac:dyDescent="0.2">
      <c r="B89" t="s">
        <v>146</v>
      </c>
      <c r="C89" s="48"/>
      <c r="D89" s="48"/>
      <c r="E89" s="48"/>
    </row>
    <row r="90" spans="1:6" x14ac:dyDescent="0.2">
      <c r="B90" t="s">
        <v>147</v>
      </c>
      <c r="C90" s="48"/>
      <c r="D90" s="48"/>
      <c r="E90" s="48"/>
    </row>
    <row r="91" spans="1:6" ht="13.5" thickBot="1" x14ac:dyDescent="0.25">
      <c r="B91" t="s">
        <v>148</v>
      </c>
      <c r="C91" s="437"/>
      <c r="D91" s="437"/>
      <c r="E91" s="437"/>
    </row>
    <row r="92" spans="1:6" x14ac:dyDescent="0.2">
      <c r="C92" s="48">
        <f>SUM(C88:C91)</f>
        <v>0</v>
      </c>
      <c r="D92" s="48">
        <f>SUM(D88:D91)</f>
        <v>0</v>
      </c>
      <c r="E92" s="48">
        <f>SUM(E88:E91)</f>
        <v>0</v>
      </c>
    </row>
    <row r="93" spans="1:6" ht="9" customHeight="1" x14ac:dyDescent="0.2">
      <c r="C93" s="48"/>
      <c r="D93" s="48"/>
      <c r="E93" s="48"/>
    </row>
    <row r="94" spans="1:6" ht="13.5" thickBot="1" x14ac:dyDescent="0.25">
      <c r="A94" s="1" t="s">
        <v>149</v>
      </c>
      <c r="C94" s="438">
        <f>SUM(C75+C77+C78+C85+C92)</f>
        <v>7190321</v>
      </c>
      <c r="D94" s="438">
        <f>SUM(D75+D77+D78+D85+D92)</f>
        <v>8733558</v>
      </c>
      <c r="E94" s="438">
        <f>SUM(E75+E77+E78+E85+E92)</f>
        <v>6258394.9399999958</v>
      </c>
    </row>
    <row r="95" spans="1:6" ht="9" customHeight="1" thickTop="1" x14ac:dyDescent="0.2">
      <c r="C95" s="48"/>
      <c r="D95" s="48"/>
      <c r="E95" s="48"/>
    </row>
    <row r="96" spans="1:6" ht="13.5" thickBot="1" x14ac:dyDescent="0.25">
      <c r="A96" s="1" t="s">
        <v>150</v>
      </c>
      <c r="C96" s="438">
        <f>SUM(C47-C94)</f>
        <v>1450683</v>
      </c>
      <c r="D96" s="438">
        <f>SUM(D47-D94)</f>
        <v>-662033</v>
      </c>
      <c r="E96" s="438">
        <f>SUM(E47-E94)</f>
        <v>2177764.0600000042</v>
      </c>
    </row>
    <row r="97" spans="1:7" ht="9" customHeight="1" thickTop="1" x14ac:dyDescent="0.2">
      <c r="C97" s="48"/>
      <c r="D97" s="48"/>
      <c r="E97" s="48"/>
    </row>
    <row r="98" spans="1:7" x14ac:dyDescent="0.2">
      <c r="A98" s="1" t="s">
        <v>151</v>
      </c>
      <c r="C98" s="48"/>
      <c r="D98" s="48"/>
      <c r="E98" s="48"/>
    </row>
    <row r="99" spans="1:7" x14ac:dyDescent="0.2">
      <c r="A99" t="s">
        <v>90</v>
      </c>
      <c r="B99" s="343" t="s">
        <v>3</v>
      </c>
      <c r="C99" s="48"/>
      <c r="D99" s="48"/>
      <c r="E99" s="48"/>
    </row>
    <row r="100" spans="1:7" x14ac:dyDescent="0.2">
      <c r="A100" s="25" t="s">
        <v>91</v>
      </c>
      <c r="B100" s="343" t="s">
        <v>4</v>
      </c>
      <c r="C100" s="48">
        <v>-556371</v>
      </c>
      <c r="D100" s="48">
        <v>-3334670</v>
      </c>
      <c r="E100" s="48">
        <v>-579442</v>
      </c>
      <c r="F100" s="357"/>
    </row>
    <row r="101" spans="1:7" x14ac:dyDescent="0.2">
      <c r="A101" t="s">
        <v>90</v>
      </c>
      <c r="B101" s="343" t="s">
        <v>152</v>
      </c>
      <c r="C101" s="48">
        <v>81828</v>
      </c>
      <c r="D101" s="48"/>
      <c r="E101" s="48">
        <v>43498</v>
      </c>
    </row>
    <row r="102" spans="1:7" x14ac:dyDescent="0.2">
      <c r="B102" s="343" t="s">
        <v>153</v>
      </c>
      <c r="C102" s="48"/>
      <c r="D102" s="48"/>
      <c r="E102" s="48">
        <v>-6750</v>
      </c>
      <c r="F102" s="357"/>
    </row>
    <row r="103" spans="1:7" x14ac:dyDescent="0.2">
      <c r="A103" t="s">
        <v>91</v>
      </c>
      <c r="B103" s="343" t="s">
        <v>154</v>
      </c>
      <c r="C103" s="48">
        <v>3475328</v>
      </c>
      <c r="D103" s="48">
        <v>2926334</v>
      </c>
      <c r="E103" s="48">
        <f>C103</f>
        <v>3475328</v>
      </c>
      <c r="F103" s="357"/>
      <c r="G103" t="s">
        <v>155</v>
      </c>
    </row>
    <row r="104" spans="1:7" ht="13.5" thickBot="1" x14ac:dyDescent="0.25">
      <c r="A104" s="344" t="s">
        <v>156</v>
      </c>
      <c r="B104" s="343"/>
      <c r="C104" s="438">
        <f>SUM(C99:C103)</f>
        <v>3000785</v>
      </c>
      <c r="D104" s="438">
        <f>SUM(D99:D103)</f>
        <v>-408336</v>
      </c>
      <c r="E104" s="438">
        <f>SUM(E99:E103)</f>
        <v>2932634</v>
      </c>
    </row>
    <row r="105" spans="1:7" ht="9" customHeight="1" thickTop="1" x14ac:dyDescent="0.2">
      <c r="B105" s="343"/>
      <c r="C105" s="48"/>
      <c r="D105" s="48"/>
      <c r="E105" s="48"/>
    </row>
    <row r="106" spans="1:7" x14ac:dyDescent="0.2">
      <c r="A106" s="1" t="s">
        <v>157</v>
      </c>
      <c r="B106" s="343"/>
      <c r="C106" s="48"/>
      <c r="D106" s="48"/>
      <c r="E106" s="48"/>
    </row>
    <row r="107" spans="1:7" x14ac:dyDescent="0.2">
      <c r="A107" t="s">
        <v>90</v>
      </c>
      <c r="B107" s="345" t="s">
        <v>158</v>
      </c>
      <c r="C107" s="48"/>
      <c r="D107" s="48"/>
      <c r="E107" s="48"/>
    </row>
    <row r="108" spans="1:7" x14ac:dyDescent="0.2">
      <c r="A108" t="s">
        <v>91</v>
      </c>
      <c r="B108" s="346" t="s">
        <v>10</v>
      </c>
      <c r="C108" s="48">
        <v>-43811</v>
      </c>
      <c r="D108" s="48">
        <v>-52474</v>
      </c>
      <c r="E108" s="48">
        <v>-31691</v>
      </c>
    </row>
    <row r="109" spans="1:7" x14ac:dyDescent="0.2">
      <c r="A109" t="s">
        <v>91</v>
      </c>
      <c r="B109" s="346" t="s">
        <v>159</v>
      </c>
      <c r="C109" s="48"/>
      <c r="D109" s="48"/>
      <c r="E109" s="48"/>
    </row>
    <row r="110" spans="1:7" x14ac:dyDescent="0.2">
      <c r="A110" t="s">
        <v>144</v>
      </c>
      <c r="B110" s="346" t="s">
        <v>160</v>
      </c>
      <c r="C110" s="48"/>
      <c r="D110" s="48"/>
      <c r="E110" s="48"/>
    </row>
    <row r="111" spans="1:7" ht="13.5" thickBot="1" x14ac:dyDescent="0.25">
      <c r="A111" s="344" t="s">
        <v>161</v>
      </c>
      <c r="B111" s="343"/>
      <c r="C111" s="438">
        <f>SUM(C107:C110)</f>
        <v>-43811</v>
      </c>
      <c r="D111" s="438">
        <f>SUM(D107:D110)</f>
        <v>-52474</v>
      </c>
      <c r="E111" s="438">
        <f>SUM(E107:E110)</f>
        <v>-31691</v>
      </c>
    </row>
    <row r="112" spans="1:7" ht="9" customHeight="1" thickTop="1" x14ac:dyDescent="0.2">
      <c r="B112" s="343"/>
      <c r="C112" s="48"/>
      <c r="D112" s="48"/>
      <c r="E112" s="48"/>
    </row>
    <row r="113" spans="1:6" ht="13.5" thickBot="1" x14ac:dyDescent="0.25">
      <c r="A113" s="1" t="s">
        <v>162</v>
      </c>
      <c r="C113" s="438">
        <f>SUM(C96+C104+C111)</f>
        <v>4407657</v>
      </c>
      <c r="D113" s="438">
        <f>SUM(D96+D104+D111)</f>
        <v>-1122843</v>
      </c>
      <c r="E113" s="438">
        <f>SUM(E96+E104+E111)</f>
        <v>5078707.0600000042</v>
      </c>
    </row>
    <row r="114" spans="1:6" ht="9" customHeight="1" thickTop="1" x14ac:dyDescent="0.2">
      <c r="C114" s="48"/>
      <c r="D114" s="48"/>
      <c r="E114" s="48"/>
    </row>
    <row r="115" spans="1:6" x14ac:dyDescent="0.2">
      <c r="A115" t="s">
        <v>163</v>
      </c>
      <c r="C115" s="48">
        <f>E119</f>
        <v>2723519.94</v>
      </c>
      <c r="D115" s="48">
        <f>E119</f>
        <v>2723519.94</v>
      </c>
      <c r="E115" s="48">
        <v>601775</v>
      </c>
      <c r="F115" s="357"/>
    </row>
    <row r="116" spans="1:6" ht="9" customHeight="1" x14ac:dyDescent="0.2">
      <c r="C116" s="48"/>
      <c r="D116" s="48"/>
      <c r="E116" s="48"/>
    </row>
    <row r="117" spans="1:6" x14ac:dyDescent="0.2">
      <c r="A117" t="s">
        <v>164</v>
      </c>
      <c r="C117" s="48">
        <f>SUM(C113+C115)</f>
        <v>7131176.9399999995</v>
      </c>
      <c r="D117" s="48">
        <f>SUM(D113+D115)</f>
        <v>1600676.94</v>
      </c>
      <c r="E117" s="48">
        <v>2956549</v>
      </c>
    </row>
    <row r="118" spans="1:6" ht="9" customHeight="1" x14ac:dyDescent="0.2">
      <c r="C118" s="48"/>
      <c r="D118" s="48"/>
      <c r="E118" s="48"/>
    </row>
    <row r="119" spans="1:6" x14ac:dyDescent="0.2">
      <c r="A119" t="s">
        <v>165</v>
      </c>
      <c r="C119" s="48">
        <v>7131473</v>
      </c>
      <c r="D119" s="48">
        <v>1600677</v>
      </c>
      <c r="E119" s="48">
        <v>2723519.94</v>
      </c>
    </row>
    <row r="120" spans="1:6" ht="9" customHeight="1" x14ac:dyDescent="0.2">
      <c r="C120" s="48"/>
      <c r="D120" s="48"/>
      <c r="E120" s="436"/>
    </row>
    <row r="121" spans="1:6" x14ac:dyDescent="0.2">
      <c r="A121" t="s">
        <v>166</v>
      </c>
      <c r="C121" s="48">
        <f>SUM(C117-C119)</f>
        <v>-296.06000000052154</v>
      </c>
      <c r="D121" s="48">
        <f>SUM(D117-D119)</f>
        <v>-6.0000000055879354E-2</v>
      </c>
      <c r="E121" s="436">
        <f>SUM(E117-E119)</f>
        <v>233029.06000000006</v>
      </c>
    </row>
    <row r="122" spans="1:6" x14ac:dyDescent="0.2">
      <c r="D122" s="26"/>
    </row>
  </sheetData>
  <mergeCells count="1">
    <mergeCell ref="A3:F3"/>
  </mergeCells>
  <phoneticPr fontId="66"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1064"/>
  <sheetViews>
    <sheetView topLeftCell="A1045" workbookViewId="0">
      <selection activeCell="D1070" sqref="D1070"/>
    </sheetView>
  </sheetViews>
  <sheetFormatPr defaultRowHeight="14.25" customHeight="1" x14ac:dyDescent="0.2"/>
  <cols>
    <col min="1" max="1" width="45.140625" style="364" bestFit="1" customWidth="1"/>
    <col min="2" max="2" width="2" style="368" customWidth="1"/>
    <col min="3" max="3" width="11.7109375" style="368" customWidth="1"/>
    <col min="4" max="4" width="15" style="368" customWidth="1"/>
    <col min="5" max="5" width="11" style="368" customWidth="1"/>
    <col min="6" max="6" width="12.85546875" style="368" customWidth="1"/>
    <col min="7" max="7" width="13" style="368" customWidth="1"/>
    <col min="8" max="8" width="11.85546875" style="368" customWidth="1"/>
    <col min="9" max="9" width="9.140625" style="362"/>
    <col min="10" max="10" width="8.5703125" style="362" customWidth="1"/>
    <col min="11" max="11" width="36.42578125" style="362" customWidth="1"/>
    <col min="12" max="16384" width="9.140625" style="362"/>
  </cols>
  <sheetData>
    <row r="1" spans="1:11" ht="14.25" customHeight="1" x14ac:dyDescent="0.2">
      <c r="A1" s="367" t="s">
        <v>958</v>
      </c>
      <c r="C1" s="368" t="s">
        <v>800</v>
      </c>
      <c r="D1" s="368" t="s">
        <v>970</v>
      </c>
      <c r="E1" s="368" t="s">
        <v>801</v>
      </c>
      <c r="G1" s="368" t="s">
        <v>297</v>
      </c>
      <c r="J1" s="382" t="s">
        <v>1304</v>
      </c>
    </row>
    <row r="2" spans="1:11" ht="14.25" customHeight="1" x14ac:dyDescent="0.2">
      <c r="J2" s="382" t="s">
        <v>1304</v>
      </c>
    </row>
    <row r="3" spans="1:11" ht="14.25" customHeight="1" x14ac:dyDescent="0.2">
      <c r="A3" s="364" t="s">
        <v>959</v>
      </c>
      <c r="C3" s="368" t="s">
        <v>893</v>
      </c>
      <c r="J3" s="382" t="s">
        <v>1304</v>
      </c>
    </row>
    <row r="4" spans="1:11" ht="14.25" customHeight="1" x14ac:dyDescent="0.2">
      <c r="A4" s="364">
        <v>10010</v>
      </c>
      <c r="C4" s="363">
        <f>HLOOKUP("start",ESLData!E$1:E$9955,MATCH($A4,ESLData!$B$1:$B$9955,0))*-1</f>
        <v>882085.34</v>
      </c>
      <c r="D4" s="363"/>
      <c r="E4" s="363">
        <f>HLOOKUP("start",ESLData!F$1:F$9955,MATCH($A4,ESLData!$B$1:$B$9955,0))*-1</f>
        <v>828076</v>
      </c>
      <c r="F4" s="363"/>
      <c r="G4" s="363">
        <f>HLOOKUP("start",ESLData!H$1:H$9955,MATCH($A4,ESLData!$B$1:$B$9955,0))*-1</f>
        <v>815003.55</v>
      </c>
      <c r="J4" s="382" t="s">
        <v>1304</v>
      </c>
      <c r="K4" s="368" t="str">
        <f>IF(ISNA(HLOOKUP("start",ESLData!C$1:C$9955,MATCH($A4,ESLData!$B$1:$B$9955,0))),"",HLOOKUP("start",ESLData!C$1:C$9955,MATCH($A4,ESLData!$B$1:$B$9955,0)))</f>
        <v>Operating Grant</v>
      </c>
    </row>
    <row r="5" spans="1:11" ht="14.25" customHeight="1" x14ac:dyDescent="0.2">
      <c r="A5" s="364">
        <v>10011</v>
      </c>
      <c r="C5" s="363">
        <f>HLOOKUP("start",ESLData!E$1:E$9955,MATCH($A5,ESLData!$B$1:$B$9955,0))*-1</f>
        <v>458827.62</v>
      </c>
      <c r="E5" s="363">
        <f>HLOOKUP("start",ESLData!F$1:F$9955,MATCH($A5,ESLData!$B$1:$B$9955,0))*-1</f>
        <v>0</v>
      </c>
      <c r="G5" s="363">
        <f>HLOOKUP("start",ESLData!H$1:H$9955,MATCH($A5,ESLData!$B$1:$B$9955,0))*-1</f>
        <v>217197.11</v>
      </c>
      <c r="J5" s="382" t="s">
        <v>1304</v>
      </c>
      <c r="K5" s="368" t="str">
        <f>IF(ISNA(HLOOKUP("start",ESLData!C$1:C$9955,MATCH($A5,ESLData!$B$1:$B$9955,0))),"",HLOOKUP("start",ESLData!C$1:C$9955,MATCH($A5,ESLData!$B$1:$B$9955,0)))</f>
        <v>Banked Staffing Under-Usage</v>
      </c>
    </row>
    <row r="6" spans="1:11" ht="14.25" customHeight="1" x14ac:dyDescent="0.2">
      <c r="A6" s="364">
        <v>10020</v>
      </c>
      <c r="C6" s="363">
        <f>HLOOKUP("start",ESLData!E$1:E$9955,MATCH($A6,ESLData!$B$1:$B$9955,0))*-1</f>
        <v>0</v>
      </c>
      <c r="D6" s="400">
        <f>ROUND(SUM(C4:C6),0)</f>
        <v>1340913</v>
      </c>
      <c r="E6" s="363">
        <f>HLOOKUP("start",ESLData!F$1:F$9955,MATCH($A6,ESLData!$B$1:$B$9955,0))*-1</f>
        <v>0</v>
      </c>
      <c r="F6" s="381">
        <f>ROUND(SUM(E4:E6),0)</f>
        <v>828076</v>
      </c>
      <c r="G6" s="363">
        <f>HLOOKUP("start",ESLData!H$1:H$9955,MATCH($A6,ESLData!$B$1:$B$9955,0))*-1</f>
        <v>7683.48</v>
      </c>
      <c r="H6" s="400">
        <f>ROUND(SUM(G4:G6),0)</f>
        <v>1039884</v>
      </c>
      <c r="J6" s="382" t="s">
        <v>1304</v>
      </c>
      <c r="K6" s="368" t="str">
        <f>IF(ISNA(HLOOKUP("start",ESLData!C$1:C$9955,MATCH($A6,ESLData!$B$1:$B$9955,0))),"",HLOOKUP("start",ESLData!C$1:C$9955,MATCH($A6,ESLData!$B$1:$B$9955,0)))</f>
        <v>BOT Election Grant</v>
      </c>
    </row>
    <row r="7" spans="1:11" ht="14.25" customHeight="1" x14ac:dyDescent="0.2">
      <c r="A7" s="364" t="s">
        <v>960</v>
      </c>
      <c r="C7" s="363" t="s">
        <v>746</v>
      </c>
      <c r="E7" s="363"/>
      <c r="G7" s="363"/>
      <c r="J7" s="382" t="s">
        <v>1304</v>
      </c>
      <c r="K7" s="368" t="str">
        <f>IF(ISNA(HLOOKUP("start",ESLData!C$1:C$9955,MATCH($A7,ESLData!$B$1:$B$9955,0))),"",HLOOKUP("start",ESLData!C$1:C$9955,MATCH($A7,ESLData!$B$1:$B$9955,0)))</f>
        <v/>
      </c>
    </row>
    <row r="8" spans="1:11" ht="14.25" customHeight="1" x14ac:dyDescent="0.2">
      <c r="A8" s="364">
        <v>10190</v>
      </c>
      <c r="C8" s="363">
        <f>HLOOKUP("start",ESLData!E$1:E$9955,MATCH($A8,ESLData!$B$1:$B$9955,0))*-1</f>
        <v>1790751.23</v>
      </c>
      <c r="D8" s="401">
        <f>ROUND(C8,0)</f>
        <v>1790751</v>
      </c>
      <c r="E8" s="363">
        <f>HLOOKUP("start",ESLData!F$1:F$9955,MATCH($A8,ESLData!$B$1:$B$9955,0))*-1</f>
        <v>1790750</v>
      </c>
      <c r="F8" s="369">
        <f>ROUND(E8,0)</f>
        <v>1790750</v>
      </c>
      <c r="G8" s="363">
        <f>HLOOKUP("start",ESLData!H$1:H$9955,MATCH($A8,ESLData!$B$1:$B$9955,0))*-1</f>
        <v>1767770.4</v>
      </c>
      <c r="H8" s="401">
        <f>ROUND(G8,0)</f>
        <v>1767770</v>
      </c>
      <c r="J8" s="382" t="s">
        <v>1304</v>
      </c>
      <c r="K8" s="368" t="str">
        <f>IF(ISNA(HLOOKUP("start",ESLData!C$1:C$9955,MATCH($A8,ESLData!$B$1:$B$9955,0))),"",HLOOKUP("start",ESLData!C$1:C$9955,MATCH($A8,ESLData!$B$1:$B$9955,0)))</f>
        <v>Residential Grant</v>
      </c>
    </row>
    <row r="9" spans="1:11" ht="14.25" customHeight="1" x14ac:dyDescent="0.2">
      <c r="A9" s="364" t="s">
        <v>870</v>
      </c>
      <c r="C9" s="363" t="s">
        <v>747</v>
      </c>
      <c r="E9" s="363"/>
      <c r="G9" s="363"/>
      <c r="J9" s="382" t="s">
        <v>1304</v>
      </c>
      <c r="K9" s="368" t="str">
        <f>IF(ISNA(HLOOKUP("start",ESLData!C$1:C$9955,MATCH($A9,ESLData!$B$1:$B$9955,0))),"",HLOOKUP("start",ESLData!C$1:C$9955,MATCH($A9,ESLData!$B$1:$B$9955,0)))</f>
        <v/>
      </c>
    </row>
    <row r="10" spans="1:11" ht="14.25" customHeight="1" x14ac:dyDescent="0.2">
      <c r="A10" s="364">
        <v>10200</v>
      </c>
      <c r="C10" s="363">
        <f>HLOOKUP("start",ESLData!E$1:E$9955,MATCH($A10,ESLData!$B$1:$B$9955,0))*-1</f>
        <v>188656.86</v>
      </c>
      <c r="E10" s="363">
        <f>HLOOKUP("start",ESLData!F$1:F$9955,MATCH($A10,ESLData!$B$1:$B$9955,0))*-1</f>
        <v>164765</v>
      </c>
      <c r="G10" s="363">
        <f>HLOOKUP("start",ESLData!H$1:H$9955,MATCH($A10,ESLData!$B$1:$B$9955,0))*-1</f>
        <v>162651.22</v>
      </c>
      <c r="J10" s="382" t="s">
        <v>1304</v>
      </c>
      <c r="K10" s="368" t="str">
        <f>IF(ISNA(HLOOKUP("start",ESLData!C$1:C$9955,MATCH($A10,ESLData!$B$1:$B$9955,0))),"",HLOOKUP("start",ESLData!C$1:C$9955,MATCH($A10,ESLData!$B$1:$B$9955,0)))</f>
        <v>Attached Teachers RVI</v>
      </c>
    </row>
    <row r="11" spans="1:11" ht="14.25" customHeight="1" x14ac:dyDescent="0.2">
      <c r="A11" s="364">
        <v>10210</v>
      </c>
      <c r="C11" s="363">
        <f>HLOOKUP("start",ESLData!E$1:E$9955,MATCH($A11,ESLData!$B$1:$B$9955,0))*-1</f>
        <v>712869.49</v>
      </c>
      <c r="D11" s="400">
        <f>ROUND(C10+C11,0)</f>
        <v>901526</v>
      </c>
      <c r="E11" s="363">
        <f>HLOOKUP("start",ESLData!F$1:F$9955,MATCH($A11,ESLData!$B$1:$B$9955,0))*-1</f>
        <v>628745</v>
      </c>
      <c r="F11" s="381">
        <f>ROUND(E10+E11,0)</f>
        <v>793510</v>
      </c>
      <c r="G11" s="363">
        <f>HLOOKUP("start",ESLData!H$1:H$9955,MATCH($A11,ESLData!$B$1:$B$9955,0))*-1</f>
        <v>620675.61</v>
      </c>
      <c r="H11" s="400">
        <f>ROUND(SUM(G10:G11),0)</f>
        <v>783327</v>
      </c>
      <c r="J11" s="382" t="s">
        <v>1304</v>
      </c>
      <c r="K11" s="368" t="str">
        <f>IF(ISNA(HLOOKUP("start",ESLData!C$1:C$9955,MATCH($A11,ESLData!$B$1:$B$9955,0))),"",HLOOKUP("start",ESLData!C$1:C$9955,MATCH($A11,ESLData!$B$1:$B$9955,0)))</f>
        <v>Attached Teachers RVI Travel</v>
      </c>
    </row>
    <row r="12" spans="1:11" ht="14.25" customHeight="1" x14ac:dyDescent="0.2">
      <c r="A12" s="364" t="s">
        <v>871</v>
      </c>
      <c r="C12" s="363" t="s">
        <v>748</v>
      </c>
      <c r="D12" s="380"/>
      <c r="E12" s="363"/>
      <c r="F12" s="380"/>
      <c r="G12" s="363"/>
      <c r="H12" s="380"/>
      <c r="J12" s="382" t="s">
        <v>1304</v>
      </c>
      <c r="K12" s="368" t="str">
        <f>IF(ISNA(HLOOKUP("start",ESLData!C$1:C$9955,MATCH($A12,ESLData!$B$1:$B$9955,0))),"",HLOOKUP("start",ESLData!C$1:C$9955,MATCH($A12,ESLData!$B$1:$B$9955,0)))</f>
        <v/>
      </c>
    </row>
    <row r="13" spans="1:11" ht="14.25" customHeight="1" x14ac:dyDescent="0.2">
      <c r="A13" s="364">
        <v>10240</v>
      </c>
      <c r="C13" s="363">
        <f>HLOOKUP("start",ESLData!E$1:E$9955,MATCH($A13,ESLData!$B$1:$B$9955,0))*-1</f>
        <v>652981.46</v>
      </c>
      <c r="D13" s="400">
        <f>ROUND(C13,0)</f>
        <v>652981</v>
      </c>
      <c r="E13" s="363">
        <f>HLOOKUP("start",ESLData!F$1:F$9955,MATCH($A13,ESLData!$B$1:$B$9955,0))*-1</f>
        <v>652980</v>
      </c>
      <c r="F13" s="381">
        <f>ROUND(E13,0)</f>
        <v>652980</v>
      </c>
      <c r="G13" s="363">
        <f>HLOOKUP("start",ESLData!H$1:H$9955,MATCH($A13,ESLData!$B$1:$B$9955,0))*-1</f>
        <v>644601.69999999995</v>
      </c>
      <c r="H13" s="400">
        <f>ROUND(G13,0)</f>
        <v>644602</v>
      </c>
      <c r="J13" s="382" t="s">
        <v>1304</v>
      </c>
      <c r="K13" s="368" t="str">
        <f>IF(ISNA(HLOOKUP("start",ESLData!C$1:C$9955,MATCH($A13,ESLData!$B$1:$B$9955,0))),"",HLOOKUP("start",ESLData!C$1:C$9955,MATCH($A13,ESLData!$B$1:$B$9955,0)))</f>
        <v>Visual Resource Centre</v>
      </c>
    </row>
    <row r="14" spans="1:11" ht="14.25" customHeight="1" x14ac:dyDescent="0.2">
      <c r="A14" s="364" t="s">
        <v>872</v>
      </c>
      <c r="C14" s="363" t="s">
        <v>961</v>
      </c>
      <c r="D14" s="380"/>
      <c r="E14" s="363"/>
      <c r="F14" s="380"/>
      <c r="G14" s="363"/>
      <c r="H14" s="380"/>
      <c r="J14" s="382" t="s">
        <v>1304</v>
      </c>
      <c r="K14" s="368" t="str">
        <f>IF(ISNA(HLOOKUP("start",ESLData!C$1:C$9955,MATCH($A14,ESLData!$B$1:$B$9955,0))),"",HLOOKUP("start",ESLData!C$1:C$9955,MATCH($A14,ESLData!$B$1:$B$9955,0)))</f>
        <v/>
      </c>
    </row>
    <row r="15" spans="1:11" ht="14.25" customHeight="1" x14ac:dyDescent="0.2">
      <c r="A15" s="364">
        <v>10290</v>
      </c>
      <c r="C15" s="363">
        <f>HLOOKUP("start",ESLData!E$1:E$9955,MATCH($A15,ESLData!$B$1:$B$9955,0))*-1</f>
        <v>9507797</v>
      </c>
      <c r="D15" s="400">
        <f>ROUND(C15,0)</f>
        <v>9507797</v>
      </c>
      <c r="E15" s="363">
        <f>HLOOKUP("start",ESLData!F$1:F$9955,MATCH($A15,ESLData!$B$1:$B$9955,0))*-1</f>
        <v>8850000</v>
      </c>
      <c r="F15" s="381">
        <f>ROUND(E15,0)</f>
        <v>8850000</v>
      </c>
      <c r="G15" s="363">
        <f>HLOOKUP("start",ESLData!H$1:H$9955,MATCH($A15,ESLData!$B$1:$B$9955,0))*-1</f>
        <v>8755013.5600000005</v>
      </c>
      <c r="H15" s="400">
        <f>ROUND(G15,0)</f>
        <v>8755014</v>
      </c>
      <c r="J15" s="382" t="s">
        <v>1304</v>
      </c>
      <c r="K15" s="368" t="str">
        <f>IF(ISNA(HLOOKUP("start",ESLData!C$1:C$9955,MATCH($A15,ESLData!$B$1:$B$9955,0))),"",HLOOKUP("start",ESLData!C$1:C$9955,MATCH($A15,ESLData!$B$1:$B$9955,0)))</f>
        <v>Teachers Salaries Grant</v>
      </c>
    </row>
    <row r="16" spans="1:11" ht="14.25" customHeight="1" x14ac:dyDescent="0.2">
      <c r="A16" s="364" t="s">
        <v>873</v>
      </c>
      <c r="C16" s="363" t="s">
        <v>962</v>
      </c>
      <c r="E16" s="363"/>
      <c r="G16" s="363"/>
      <c r="J16" s="382" t="s">
        <v>1304</v>
      </c>
      <c r="K16" s="368" t="str">
        <f>IF(ISNA(HLOOKUP("start",ESLData!C$1:C$9955,MATCH($A16,ESLData!$B$1:$B$9955,0))),"",HLOOKUP("start",ESLData!C$1:C$9955,MATCH($A16,ESLData!$B$1:$B$9955,0)))</f>
        <v/>
      </c>
    </row>
    <row r="17" spans="1:12" ht="14.25" customHeight="1" x14ac:dyDescent="0.2">
      <c r="A17" s="364">
        <v>10300</v>
      </c>
      <c r="C17" s="363">
        <f>HLOOKUP("start",ESLData!E$1:E$9955,MATCH($A17,ESLData!$B$1:$B$9955,0))*-1</f>
        <v>604309.84</v>
      </c>
      <c r="E17" s="363">
        <f>HLOOKUP("start",ESLData!F$1:F$9955,MATCH($A17,ESLData!$B$1:$B$9955,0))*-1</f>
        <v>589776</v>
      </c>
      <c r="G17" s="363">
        <f>HLOOKUP("start",ESLData!H$1:H$9955,MATCH($A17,ESLData!$B$1:$B$9955,0))*-1</f>
        <v>477895.56</v>
      </c>
      <c r="J17" s="382" t="s">
        <v>1304</v>
      </c>
      <c r="K17" s="368" t="str">
        <f>IF(ISNA(HLOOKUP("start",ESLData!C$1:C$9955,MATCH($A17,ESLData!$B$1:$B$9955,0))),"",HLOOKUP("start",ESLData!C$1:C$9955,MATCH($A17,ESLData!$B$1:$B$9955,0)))</f>
        <v>ORS - Homai Campus School</v>
      </c>
    </row>
    <row r="18" spans="1:12" ht="14.25" customHeight="1" x14ac:dyDescent="0.2">
      <c r="A18" s="364">
        <v>10310</v>
      </c>
      <c r="C18" s="363">
        <f>HLOOKUP("start",ESLData!E$1:E$9955,MATCH($A18,ESLData!$B$1:$B$9955,0))*-1</f>
        <v>105449.65</v>
      </c>
      <c r="E18" s="363">
        <f>HLOOKUP("start",ESLData!F$1:F$9955,MATCH($A18,ESLData!$B$1:$B$9955,0))*-1</f>
        <v>105450</v>
      </c>
      <c r="G18" s="363">
        <f>HLOOKUP("start",ESLData!H$1:H$9955,MATCH($A18,ESLData!$B$1:$B$9955,0))*-1</f>
        <v>104096.41</v>
      </c>
      <c r="J18" s="382" t="s">
        <v>1304</v>
      </c>
      <c r="K18" s="368" t="str">
        <f>IF(ISNA(HLOOKUP("start",ESLData!C$1:C$9955,MATCH($A18,ESLData!$B$1:$B$9955,0))),"",HLOOKUP("start",ESLData!C$1:C$9955,MATCH($A18,ESLData!$B$1:$B$9955,0)))</f>
        <v>ORS - Aggregated (Admin)</v>
      </c>
    </row>
    <row r="19" spans="1:12" ht="14.25" customHeight="1" x14ac:dyDescent="0.2">
      <c r="A19" s="364">
        <v>10315</v>
      </c>
      <c r="C19" s="363">
        <f>HLOOKUP("start",ESLData!E$1:E$9955,MATCH($A19,ESLData!$B$1:$B$9955,0))*-1</f>
        <v>298854.34999999998</v>
      </c>
      <c r="E19" s="363">
        <f>HLOOKUP("start",ESLData!F$1:F$9955,MATCH($A19,ESLData!$B$1:$B$9955,0))*-1</f>
        <v>295332</v>
      </c>
      <c r="G19" s="363">
        <f>HLOOKUP("start",ESLData!H$1:H$9955,MATCH($A19,ESLData!$B$1:$B$9955,0))*-1</f>
        <v>296516.46000000002</v>
      </c>
      <c r="J19" s="382" t="s">
        <v>1304</v>
      </c>
      <c r="K19" s="368" t="str">
        <f>IF(ISNA(HLOOKUP("start",ESLData!C$1:C$9955,MATCH($A19,ESLData!$B$1:$B$9955,0))),"",HLOOKUP("start",ESLData!C$1:C$9955,MATCH($A19,ESLData!$B$1:$B$9955,0)))</f>
        <v>ORS - Aggregated (Travel)</v>
      </c>
    </row>
    <row r="20" spans="1:12" ht="14.25" customHeight="1" x14ac:dyDescent="0.2">
      <c r="A20" s="364">
        <v>10316</v>
      </c>
      <c r="C20" s="363">
        <f>HLOOKUP("start",ESLData!E$1:E$9955,MATCH($A20,ESLData!$B$1:$B$9955,0))*-1</f>
        <v>178949.52</v>
      </c>
      <c r="E20" s="363">
        <f>HLOOKUP("start",ESLData!F$1:F$9955,MATCH($A20,ESLData!$B$1:$B$9955,0))*-1</f>
        <v>178950</v>
      </c>
      <c r="G20" s="363">
        <f>HLOOKUP("start",ESLData!H$1:H$9955,MATCH($A20,ESLData!$B$1:$B$9955,0))*-1</f>
        <v>176653.05</v>
      </c>
      <c r="J20" s="382" t="s">
        <v>1304</v>
      </c>
      <c r="K20" s="368" t="str">
        <f>IF(ISNA(HLOOKUP("start",ESLData!C$1:C$9955,MATCH($A20,ESLData!$B$1:$B$9955,0))),"",HLOOKUP("start",ESLData!C$1:C$9955,MATCH($A20,ESLData!$B$1:$B$9955,0)))</f>
        <v>ORS Aggregated (Base)</v>
      </c>
    </row>
    <row r="21" spans="1:12" ht="14.25" customHeight="1" x14ac:dyDescent="0.2">
      <c r="A21" s="364">
        <v>10317</v>
      </c>
      <c r="C21" s="363">
        <f>HLOOKUP("start",ESLData!E$1:E$9955,MATCH($A21,ESLData!$B$1:$B$9955,0))*-1</f>
        <v>0</v>
      </c>
      <c r="D21" s="400">
        <f>ROUND(SUM(C17:C21),0)</f>
        <v>1187563</v>
      </c>
      <c r="E21" s="363">
        <f>HLOOKUP("start",ESLData!F$1:F$9955,MATCH($A21,ESLData!$B$1:$B$9955,0))*-1</f>
        <v>0</v>
      </c>
      <c r="F21" s="381">
        <f>ROUND(SUM(E17:E21),0)</f>
        <v>1169508</v>
      </c>
      <c r="G21" s="363">
        <f>HLOOKUP("start",ESLData!H$1:H$9955,MATCH($A21,ESLData!$B$1:$B$9955,0))*-1</f>
        <v>0</v>
      </c>
      <c r="H21" s="400">
        <f>ROUND(SUM(G17:G21),0)</f>
        <v>1055161</v>
      </c>
      <c r="J21" s="382" t="s">
        <v>1304</v>
      </c>
      <c r="K21" s="368" t="str">
        <f>IF(ISNA(HLOOKUP("start",ESLData!C$1:C$9955,MATCH($A21,ESLData!$B$1:$B$9955,0))),"",HLOOKUP("start",ESLData!C$1:C$9955,MATCH($A21,ESLData!$B$1:$B$9955,0)))</f>
        <v>Teacher Aide PD MOE grants</v>
      </c>
    </row>
    <row r="22" spans="1:12" ht="14.25" customHeight="1" x14ac:dyDescent="0.2">
      <c r="A22" s="364" t="s">
        <v>874</v>
      </c>
      <c r="C22" s="363" t="s">
        <v>963</v>
      </c>
      <c r="E22" s="363"/>
      <c r="G22" s="363"/>
      <c r="J22" s="382" t="s">
        <v>1304</v>
      </c>
      <c r="K22" s="368" t="str">
        <f>IF(ISNA(HLOOKUP("start",ESLData!C$1:C$9955,MATCH($A22,ESLData!$B$1:$B$9955,0))),"",HLOOKUP("start",ESLData!C$1:C$9955,MATCH($A22,ESLData!$B$1:$B$9955,0)))</f>
        <v/>
      </c>
    </row>
    <row r="23" spans="1:12" ht="14.25" customHeight="1" x14ac:dyDescent="0.2">
      <c r="A23" s="364">
        <v>10282</v>
      </c>
      <c r="C23" s="363">
        <f>HLOOKUP("start",ESLData!E$1:E$9955,MATCH($A23,ESLData!$B$1:$B$9955,0))*-1</f>
        <v>15481.71</v>
      </c>
      <c r="D23" s="400">
        <f>ROUND(C23,0)</f>
        <v>15482</v>
      </c>
      <c r="E23" s="363">
        <f>HLOOKUP("start",ESLData!F$1:F$9955,MATCH($A23,ESLData!$B$1:$B$9955,0))*-1</f>
        <v>15481</v>
      </c>
      <c r="F23" s="381">
        <f>ROUND(E23,0)</f>
        <v>15481</v>
      </c>
      <c r="G23" s="363">
        <f>HLOOKUP("start",ESLData!H$1:H$9955,MATCH($A23,ESLData!$B$1:$B$9955,0))*-1</f>
        <v>15283.41</v>
      </c>
      <c r="H23" s="400">
        <f>ROUND(G23,0)</f>
        <v>15283</v>
      </c>
      <c r="J23" s="382" t="s">
        <v>1304</v>
      </c>
      <c r="K23" s="368" t="str">
        <f>IF(ISNA(HLOOKUP("start",ESLData!C$1:C$9955,MATCH($A23,ESLData!$B$1:$B$9955,0))),"",HLOOKUP("start",ESLData!C$1:C$9955,MATCH($A23,ESLData!$B$1:$B$9955,0)))</f>
        <v>DOA - Board Support</v>
      </c>
    </row>
    <row r="24" spans="1:12" ht="14.25" customHeight="1" x14ac:dyDescent="0.2">
      <c r="A24" s="364" t="s">
        <v>875</v>
      </c>
      <c r="C24" s="363" t="s">
        <v>964</v>
      </c>
      <c r="E24" s="363"/>
      <c r="G24" s="363"/>
      <c r="J24" s="382" t="s">
        <v>1304</v>
      </c>
      <c r="K24" s="368" t="str">
        <f>IF(ISNA(HLOOKUP("start",ESLData!C$1:C$9955,MATCH($A24,ESLData!$B$1:$B$9955,0))),"",HLOOKUP("start",ESLData!C$1:C$9955,MATCH($A24,ESLData!$B$1:$B$9955,0)))</f>
        <v/>
      </c>
    </row>
    <row r="25" spans="1:12" ht="14.25" customHeight="1" x14ac:dyDescent="0.2">
      <c r="A25" s="364">
        <v>10283</v>
      </c>
      <c r="C25" s="363">
        <f>HLOOKUP("start",ESLData!E$1:E$9955,MATCH($A25,ESLData!$B$1:$B$9955,0))*-1</f>
        <v>808027.81</v>
      </c>
      <c r="D25" s="400">
        <f>ROUND(C25,0)</f>
        <v>808028</v>
      </c>
      <c r="E25" s="363">
        <f>HLOOKUP("start",ESLData!F$1:F$9955,MATCH($A25,ESLData!$B$1:$B$9955,0))*-1</f>
        <v>808024</v>
      </c>
      <c r="F25" s="381">
        <f>ROUND(E25,0)</f>
        <v>808024</v>
      </c>
      <c r="G25" s="363">
        <f>HLOOKUP("start",ESLData!H$1:H$9955,MATCH($A25,ESLData!$B$1:$B$9955,0))*-1</f>
        <v>797655.57</v>
      </c>
      <c r="H25" s="400">
        <f>ROUND(G25,0)</f>
        <v>797656</v>
      </c>
      <c r="J25" s="382" t="s">
        <v>1304</v>
      </c>
      <c r="K25" s="368" t="str">
        <f>IF(ISNA(HLOOKUP("start",ESLData!C$1:C$9955,MATCH($A25,ESLData!$B$1:$B$9955,0))),"",HLOOKUP("start",ESLData!C$1:C$9955,MATCH($A25,ESLData!$B$1:$B$9955,0)))</f>
        <v>DOA - Assessment &amp; Training</v>
      </c>
    </row>
    <row r="26" spans="1:12" ht="14.25" customHeight="1" x14ac:dyDescent="0.2">
      <c r="A26" s="365" t="s">
        <v>895</v>
      </c>
      <c r="C26" s="363" t="s">
        <v>965</v>
      </c>
      <c r="E26" s="363"/>
      <c r="G26" s="363"/>
      <c r="J26" s="382" t="s">
        <v>1304</v>
      </c>
      <c r="K26" s="368" t="str">
        <f>IF(ISNA(HLOOKUP("start",ESLData!C$1:C$9955,MATCH($A26,ESLData!$B$1:$B$9955,0))),"",HLOOKUP("start",ESLData!C$1:C$9955,MATCH($A26,ESLData!$B$1:$B$9955,0)))</f>
        <v/>
      </c>
    </row>
    <row r="27" spans="1:12" ht="14.25" customHeight="1" x14ac:dyDescent="0.2">
      <c r="A27" s="364">
        <v>10286</v>
      </c>
      <c r="C27" s="363">
        <f>HLOOKUP("start",ESLData!E$1:E$9955,MATCH($A27,ESLData!$B$1:$B$9955,0))*-1</f>
        <v>0</v>
      </c>
      <c r="E27" s="363">
        <f>HLOOKUP("start",ESLData!F$1:F$9955,MATCH($A27,ESLData!$B$1:$B$9955,0))*-1</f>
        <v>0</v>
      </c>
      <c r="G27" s="363">
        <f>HLOOKUP("start",ESLData!H$1:H$9955,MATCH($A27,ESLData!$B$1:$B$9955,0))*-1</f>
        <v>0</v>
      </c>
      <c r="J27" s="382" t="s">
        <v>1304</v>
      </c>
      <c r="K27" s="368" t="str">
        <f>IF(ISNA(HLOOKUP("start",ESLData!C$1:C$9955,MATCH($A27,ESLData!$B$1:$B$9955,0))),"",HLOOKUP("start",ESLData!C$1:C$9955,MATCH($A27,ESLData!$B$1:$B$9955,0)))</f>
        <v>ECC Moderate Bldg Knowledge</v>
      </c>
    </row>
    <row r="28" spans="1:12" ht="14.25" customHeight="1" x14ac:dyDescent="0.2">
      <c r="A28" s="365">
        <v>10287</v>
      </c>
      <c r="C28" s="363">
        <f>HLOOKUP("start",ESLData!E$1:E$9955,MATCH($A28,ESLData!$B$1:$B$9955,0))*-1</f>
        <v>0</v>
      </c>
      <c r="D28" s="369"/>
      <c r="E28" s="363">
        <f>HLOOKUP("start",ESLData!F$1:F$9955,MATCH($A28,ESLData!$B$1:$B$9955,0))*-1</f>
        <v>0</v>
      </c>
      <c r="F28" s="369">
        <f>ROUND(E27+E28,0)</f>
        <v>0</v>
      </c>
      <c r="G28" s="363">
        <f>HLOOKUP("start",ESLData!H$1:H$9955,MATCH($A28,ESLData!$B$1:$B$9955,0))*-1</f>
        <v>0</v>
      </c>
      <c r="H28" s="401">
        <f>ROUND(SUM(G27:G28),0)</f>
        <v>0</v>
      </c>
      <c r="J28" s="382" t="s">
        <v>1304</v>
      </c>
      <c r="K28" s="368" t="str">
        <f>IF(ISNA(HLOOKUP("start",ESLData!C$1:C$9955,MATCH($A28,ESLData!$B$1:$B$9955,0))),"",HLOOKUP("start",ESLData!C$1:C$9955,MATCH($A28,ESLData!$B$1:$B$9955,0)))</f>
        <v>ECC Moderate Dom</v>
      </c>
    </row>
    <row r="29" spans="1:12" ht="14.25" customHeight="1" x14ac:dyDescent="0.2">
      <c r="A29" s="365">
        <v>10288</v>
      </c>
      <c r="C29" s="363">
        <f>HLOOKUP("start",ESLData!E$1:E$9955,MATCH($A29,ESLData!$B$1:$B$9955,0))*-1</f>
        <v>1155547.7</v>
      </c>
      <c r="D29" s="400">
        <f>ROUND(C27+C28+C29,0)</f>
        <v>1155548</v>
      </c>
      <c r="E29" s="363">
        <f>HLOOKUP("start",ESLData!F$1:F$9955,MATCH($A29,ESLData!$B$1:$B$9955,0))*-1</f>
        <v>1080273</v>
      </c>
      <c r="F29" s="381">
        <f>ROUND(E27+E28+E29,0)</f>
        <v>1080273</v>
      </c>
      <c r="G29" s="363">
        <f>HLOOKUP("start",ESLData!H$1:H$9955,MATCH($A29,ESLData!$B$1:$B$9955,0))*-1</f>
        <v>1080272.1399999999</v>
      </c>
      <c r="H29" s="400">
        <f>ROUND(G27+G28+G29,0)</f>
        <v>1080272</v>
      </c>
      <c r="J29" s="382" t="s">
        <v>1304</v>
      </c>
      <c r="K29" s="368" t="str">
        <f>IF(ISNA(HLOOKUP("start",ESLData!C$1:C$9955,MATCH($A29,ESLData!$B$1:$B$9955,0))),"",HLOOKUP("start",ESLData!C$1:C$9955,MATCH($A29,ESLData!$B$1:$B$9955,0)))</f>
        <v>Regional Specialist Services</v>
      </c>
      <c r="L29" s="366" t="s">
        <v>1014</v>
      </c>
    </row>
    <row r="30" spans="1:12" ht="14.25" customHeight="1" x14ac:dyDescent="0.2">
      <c r="A30" s="364" t="s">
        <v>876</v>
      </c>
      <c r="C30" s="363" t="s">
        <v>966</v>
      </c>
      <c r="E30" s="363"/>
      <c r="G30" s="363"/>
      <c r="J30" s="382" t="s">
        <v>1304</v>
      </c>
      <c r="K30" s="368" t="str">
        <f>IF(ISNA(HLOOKUP("start",ESLData!C$1:C$9955,MATCH($A30,ESLData!$B$1:$B$9955,0))),"",HLOOKUP("start",ESLData!C$1:C$9955,MATCH($A30,ESLData!$B$1:$B$9955,0)))</f>
        <v/>
      </c>
    </row>
    <row r="31" spans="1:12" ht="14.25" customHeight="1" x14ac:dyDescent="0.2">
      <c r="A31" s="364">
        <v>1900</v>
      </c>
      <c r="C31" s="363">
        <f>HLOOKUP("start",ESLData!E$1:E$9955,MATCH($A31,ESLData!$B$1:$B$9955,0))*-1</f>
        <v>2386322</v>
      </c>
      <c r="D31" s="400">
        <f>ROUND(C31,0)</f>
        <v>2386322</v>
      </c>
      <c r="E31" s="363">
        <f>HLOOKUP("start",ESLData!F$1:F$9955,MATCH($A31,ESLData!$B$1:$B$9955,0))*-1</f>
        <v>1696984</v>
      </c>
      <c r="F31" s="400">
        <f>ROUND(E31,0)</f>
        <v>1696984</v>
      </c>
      <c r="G31" s="363">
        <f>HLOOKUP("start",ESLData!H$1:H$9955,MATCH($A31,ESLData!$B$1:$B$9955,0))*-1</f>
        <v>2386322</v>
      </c>
      <c r="H31" s="381">
        <f>ROUND(G31,0)</f>
        <v>2386322</v>
      </c>
      <c r="J31" s="382" t="s">
        <v>1304</v>
      </c>
      <c r="K31" s="368" t="str">
        <f>IF(ISNA(HLOOKUP("start",ESLData!C$1:C$9955,MATCH($A31,ESLData!$B$1:$B$9955,0))),"",HLOOKUP("start",ESLData!C$1:C$9955,MATCH($A31,ESLData!$B$1:$B$9955,0)))</f>
        <v>Use of Land and Buildings</v>
      </c>
    </row>
    <row r="32" spans="1:12" ht="14.25" customHeight="1" x14ac:dyDescent="0.2">
      <c r="A32" s="364" t="s">
        <v>967</v>
      </c>
      <c r="C32" s="363" t="s">
        <v>968</v>
      </c>
      <c r="E32" s="363"/>
      <c r="G32" s="363"/>
      <c r="J32" s="382" t="s">
        <v>1304</v>
      </c>
      <c r="K32" s="368" t="str">
        <f>IF(ISNA(HLOOKUP("start",ESLData!C$1:C$9955,MATCH($A32,ESLData!$B$1:$B$9955,0))),"",HLOOKUP("start",ESLData!C$1:C$9955,MATCH($A32,ESLData!$B$1:$B$9955,0)))</f>
        <v/>
      </c>
    </row>
    <row r="33" spans="1:11" ht="14.25" customHeight="1" x14ac:dyDescent="0.2">
      <c r="A33" s="364">
        <v>25100</v>
      </c>
      <c r="C33" s="363">
        <f>HLOOKUP("start",ESLData!E$1:E$9955,MATCH($A33,ESLData!$B$1:$B$9955,0))*-1</f>
        <v>213208.7</v>
      </c>
      <c r="E33" s="363">
        <f>HLOOKUP("start",ESLData!F$1:F$9955,MATCH($A33,ESLData!$B$1:$B$9955,0))*-1</f>
        <v>230000</v>
      </c>
      <c r="G33" s="363">
        <f>HLOOKUP("start",ESLData!H$1:H$9955,MATCH($A33,ESLData!$B$1:$B$9955,0))*-1</f>
        <v>120521.74</v>
      </c>
      <c r="I33" s="366"/>
      <c r="J33" s="382" t="s">
        <v>1304</v>
      </c>
      <c r="K33" s="368" t="str">
        <f>IF(ISNA(HLOOKUP("start",ESLData!C$1:C$9955,MATCH($A33,ESLData!$B$1:$B$9955,0))),"",HLOOKUP("start",ESLData!C$1:C$9955,MATCH($A33,ESLData!$B$1:$B$9955,0)))</f>
        <v>MOE Study Award income</v>
      </c>
    </row>
    <row r="34" spans="1:11" ht="14.25" customHeight="1" x14ac:dyDescent="0.2">
      <c r="A34" s="365">
        <v>10318</v>
      </c>
      <c r="C34" s="363">
        <f>HLOOKUP("start",ESLData!E$1:E$9955,MATCH($A34,ESLData!$B$1:$B$9955,0))*-1</f>
        <v>177004.36</v>
      </c>
      <c r="E34" s="363">
        <f>HLOOKUP("start",ESLData!F$1:F$9955,MATCH($A34,ESLData!$B$1:$B$9955,0))*-1</f>
        <v>173144</v>
      </c>
      <c r="G34" s="363">
        <f>HLOOKUP("start",ESLData!H$1:H$9955,MATCH($A34,ESLData!$B$1:$B$9955,0))*-1</f>
        <v>170921.62</v>
      </c>
      <c r="J34" s="382" t="s">
        <v>1304</v>
      </c>
      <c r="K34" s="368" t="str">
        <f>IF(ISNA(HLOOKUP("start",ESLData!C$1:C$9955,MATCH($A34,ESLData!$B$1:$B$9955,0))),"",HLOOKUP("start",ESLData!C$1:C$9955,MATCH($A34,ESLData!$B$1:$B$9955,0)))</f>
        <v>ECC Grants</v>
      </c>
    </row>
    <row r="35" spans="1:11" ht="14.25" customHeight="1" x14ac:dyDescent="0.2">
      <c r="A35" s="365">
        <v>10320</v>
      </c>
      <c r="C35" s="363">
        <f>HLOOKUP("start",ESLData!E$1:E$9955,MATCH($A35,ESLData!$B$1:$B$9955,0))*-1</f>
        <v>0</v>
      </c>
      <c r="E35" s="363">
        <f>HLOOKUP("start",ESLData!F$1:F$9955,MATCH($A35,ESLData!$B$1:$B$9955,0))*-1</f>
        <v>0</v>
      </c>
      <c r="G35" s="363">
        <f>HLOOKUP("start",ESLData!H$1:H$9955,MATCH($A35,ESLData!$B$1:$B$9955,0))*-1</f>
        <v>0</v>
      </c>
      <c r="J35" s="382" t="s">
        <v>1304</v>
      </c>
      <c r="K35" s="368" t="str">
        <f>IF(ISNA(HLOOKUP("start",ESLData!C$1:C$9955,MATCH($A35,ESLData!$B$1:$B$9955,0))),"",HLOOKUP("start",ESLData!C$1:C$9955,MATCH($A35,ESLData!$B$1:$B$9955,0)))</f>
        <v>MOE Portion Laptop leases</v>
      </c>
    </row>
    <row r="36" spans="1:11" ht="14.25" customHeight="1" x14ac:dyDescent="0.2">
      <c r="A36" s="365">
        <v>156</v>
      </c>
      <c r="C36" s="363">
        <f>HLOOKUP("start",ESLData!E$1:E$9955,MATCH($A36,ESLData!$B$1:$B$9955,0))*-1</f>
        <v>26074.99</v>
      </c>
      <c r="E36" s="363">
        <f>HLOOKUP("start",ESLData!F$1:F$9955,MATCH($A36,ESLData!$B$1:$B$9955,0))*-1</f>
        <v>0</v>
      </c>
      <c r="G36" s="363">
        <f>HLOOKUP("start",ESLData!H$1:H$9955,MATCH($A36,ESLData!$B$1:$B$9955,0))*-1</f>
        <v>14160</v>
      </c>
      <c r="J36" s="382" t="s">
        <v>1304</v>
      </c>
      <c r="K36" s="368" t="str">
        <f>IF(ISNA(HLOOKUP("start",ESLData!C$1:C$9955,MATCH($A36,ESLData!$B$1:$B$9955,0))),"",HLOOKUP("start",ESLData!C$1:C$9955,MATCH($A36,ESLData!$B$1:$B$9955,0)))</f>
        <v>TRL Lease MOE Portion Finance</v>
      </c>
    </row>
    <row r="37" spans="1:11" ht="14.25" customHeight="1" x14ac:dyDescent="0.2">
      <c r="A37" s="365">
        <v>148</v>
      </c>
      <c r="C37" s="363">
        <f>HLOOKUP("start",ESLData!E$1:E$9955,MATCH($A37,ESLData!$B$1:$B$9955,0))*-1</f>
        <v>320</v>
      </c>
      <c r="E37" s="363">
        <f>HLOOKUP("start",ESLData!F$1:F$9955,MATCH($A37,ESLData!$B$1:$B$9955,0))*-1</f>
        <v>0</v>
      </c>
      <c r="G37" s="363">
        <f>HLOOKUP("start",ESLData!H$1:H$9955,MATCH($A37,ESLData!$B$1:$B$9955,0))*-1</f>
        <v>14720</v>
      </c>
      <c r="J37" s="382" t="s">
        <v>1304</v>
      </c>
      <c r="K37" s="368" t="str">
        <f>IF(ISNA(HLOOKUP("start",ESLData!C$1:C$9955,MATCH($A37,ESLData!$B$1:$B$9955,0))),"",HLOOKUP("start",ESLData!C$1:C$9955,MATCH($A37,ESLData!$B$1:$B$9955,0)))</f>
        <v>MOE Portion Operation Lease</v>
      </c>
    </row>
    <row r="38" spans="1:11" ht="14.25" customHeight="1" x14ac:dyDescent="0.2">
      <c r="A38" s="365">
        <v>10400</v>
      </c>
      <c r="C38" s="363">
        <f>HLOOKUP("start",ESLData!E$1:E$9955,MATCH($A38,ESLData!$B$1:$B$9955,0))*-1</f>
        <v>98227.25</v>
      </c>
      <c r="E38" s="363">
        <f>HLOOKUP("start",ESLData!F$1:F$9955,MATCH($A38,ESLData!$B$1:$B$9955,0))*-1</f>
        <v>54000</v>
      </c>
      <c r="G38" s="363">
        <f>HLOOKUP("start",ESLData!H$1:H$9955,MATCH($A38,ESLData!$B$1:$B$9955,0))*-1</f>
        <v>25044.5</v>
      </c>
      <c r="J38" s="382" t="s">
        <v>1304</v>
      </c>
      <c r="K38" s="368" t="str">
        <f>IF(ISNA(HLOOKUP("start",ESLData!C$1:C$9955,MATCH($A38,ESLData!$B$1:$B$9955,0))),"",HLOOKUP("start",ESLData!C$1:C$9955,MATCH($A38,ESLData!$B$1:$B$9955,0)))</f>
        <v>ACC Teacher Aide</v>
      </c>
    </row>
    <row r="39" spans="1:11" ht="14.25" customHeight="1" x14ac:dyDescent="0.2">
      <c r="A39" s="365">
        <v>10410</v>
      </c>
      <c r="C39" s="363">
        <f>HLOOKUP("start",ESLData!E$1:E$9955,MATCH($A39,ESLData!$B$1:$B$9955,0))*-1</f>
        <v>0</v>
      </c>
      <c r="E39" s="363">
        <f>HLOOKUP("start",ESLData!F$1:F$9955,MATCH($A39,ESLData!$B$1:$B$9955,0))*-1</f>
        <v>0</v>
      </c>
      <c r="G39" s="363">
        <f>HLOOKUP("start",ESLData!H$1:H$9955,MATCH($A39,ESLData!$B$1:$B$9955,0))*-1</f>
        <v>25256.43</v>
      </c>
      <c r="J39" s="382" t="s">
        <v>1304</v>
      </c>
      <c r="K39" s="368" t="str">
        <f>IF(ISNA(HLOOKUP("start",ESLData!C$1:C$9955,MATCH($A39,ESLData!$B$1:$B$9955,0))),"",HLOOKUP("start",ESLData!C$1:C$9955,MATCH($A39,ESLData!$B$1:$B$9955,0)))</f>
        <v>Other Grants</v>
      </c>
    </row>
    <row r="40" spans="1:11" s="368" customFormat="1" ht="14.25" customHeight="1" x14ac:dyDescent="0.2">
      <c r="A40" s="365">
        <v>10289</v>
      </c>
      <c r="C40" s="363">
        <f>HLOOKUP("start",ESLData!E$1:E$9955,MATCH($A40,ESLData!$B$1:$B$9955,0))*-1</f>
        <v>10000</v>
      </c>
      <c r="D40" s="400">
        <f>ROUND(SUM(C33:C40),0)</f>
        <v>524835</v>
      </c>
      <c r="E40" s="363">
        <f>HLOOKUP("start",ESLData!F$1:F$9955,MATCH($A40,ESLData!$B$1:$B$9955,0))*-1</f>
        <v>10000</v>
      </c>
      <c r="F40" s="381">
        <f>ROUND(SUM(E33:E40),0)</f>
        <v>467144</v>
      </c>
      <c r="G40" s="363">
        <f>HLOOKUP("start",ESLData!H$1:H$9955,MATCH($A40,ESLData!$B$1:$B$9955,0))*-1</f>
        <v>10000</v>
      </c>
      <c r="H40" s="400">
        <f>ROUND(SUM(G33:G40),0)</f>
        <v>380624</v>
      </c>
      <c r="J40" s="382" t="s">
        <v>1304</v>
      </c>
      <c r="K40" s="368" t="str">
        <f>IF(ISNA(HLOOKUP("start",ESLData!C$1:C$9955,MATCH($A40,ESLData!$B$1:$B$9955,0))),"",HLOOKUP("start",ESLData!C$1:C$9955,MATCH($A40,ESLData!$B$1:$B$9955,0)))</f>
        <v>PB4L Grant</v>
      </c>
    </row>
    <row r="41" spans="1:11" ht="14.25" customHeight="1" x14ac:dyDescent="0.2">
      <c r="C41" s="363"/>
      <c r="E41" s="363"/>
      <c r="G41" s="363"/>
      <c r="J41" s="382" t="s">
        <v>1304</v>
      </c>
      <c r="K41" s="368" t="str">
        <f>IF(ISNA(HLOOKUP("start",ESLData!C$1:C$9955,MATCH($A41,ESLData!$B$1:$B$9955,0))),"",HLOOKUP("start",ESLData!C$1:C$9955,MATCH($A41,ESLData!$B$1:$B$9955,0)))</f>
        <v/>
      </c>
    </row>
    <row r="42" spans="1:11" ht="14.25" customHeight="1" x14ac:dyDescent="0.2">
      <c r="A42" s="376" t="s">
        <v>854</v>
      </c>
      <c r="C42" s="363"/>
      <c r="E42" s="363"/>
      <c r="G42" s="363"/>
      <c r="J42" s="382" t="s">
        <v>1304</v>
      </c>
      <c r="K42" s="368" t="str">
        <f>IF(ISNA(HLOOKUP("start",ESLData!C$1:C$9955,MATCH($A42,ESLData!$B$1:$B$9955,0))),"",HLOOKUP("start",ESLData!C$1:C$9955,MATCH($A42,ESLData!$B$1:$B$9955,0)))</f>
        <v/>
      </c>
    </row>
    <row r="43" spans="1:11" ht="14.25" customHeight="1" x14ac:dyDescent="0.2">
      <c r="A43" s="367" t="s">
        <v>329</v>
      </c>
      <c r="C43" s="363"/>
      <c r="E43" s="363"/>
      <c r="G43" s="363"/>
      <c r="J43" s="382" t="s">
        <v>1304</v>
      </c>
      <c r="K43" s="368" t="str">
        <f>IF(ISNA(HLOOKUP("start",ESLData!C$1:C$9955,MATCH($A43,ESLData!$B$1:$B$9955,0))),"",HLOOKUP("start",ESLData!C$1:C$9955,MATCH($A43,ESLData!$B$1:$B$9955,0)))</f>
        <v/>
      </c>
    </row>
    <row r="44" spans="1:11" ht="14.25" customHeight="1" x14ac:dyDescent="0.2">
      <c r="A44" s="364">
        <v>10640</v>
      </c>
      <c r="C44" s="363">
        <f>HLOOKUP("start",ESLData!E$1:E$9955,MATCH($A44,ESLData!$B$1:$B$9955,0))*-1</f>
        <v>280</v>
      </c>
      <c r="E44" s="363">
        <f>HLOOKUP("start",ESLData!F$1:F$9955,MATCH($A44,ESLData!$B$1:$B$9955,0))*-1</f>
        <v>100</v>
      </c>
      <c r="G44" s="363">
        <f>HLOOKUP("start",ESLData!H$1:H$9955,MATCH($A44,ESLData!$B$1:$B$9955,0))*-1</f>
        <v>300</v>
      </c>
      <c r="J44" s="382" t="s">
        <v>1304</v>
      </c>
      <c r="K44" s="368" t="str">
        <f>IF(ISNA(HLOOKUP("start",ESLData!C$1:C$9955,MATCH($A44,ESLData!$B$1:$B$9955,0))),"",HLOOKUP("start",ESLData!C$1:C$9955,MATCH($A44,ESLData!$B$1:$B$9955,0)))</f>
        <v>Donations -Parents</v>
      </c>
    </row>
    <row r="45" spans="1:11" ht="14.25" customHeight="1" x14ac:dyDescent="0.2">
      <c r="A45" s="364">
        <v>10660</v>
      </c>
      <c r="C45" s="363">
        <f>HLOOKUP("start",ESLData!E$1:E$9955,MATCH($A45,ESLData!$B$1:$B$9955,0))*-1</f>
        <v>800</v>
      </c>
      <c r="E45" s="363">
        <f>HLOOKUP("start",ESLData!F$1:F$9955,MATCH($A45,ESLData!$B$1:$B$9955,0))*-1</f>
        <v>250</v>
      </c>
      <c r="G45" s="363">
        <f>HLOOKUP("start",ESLData!H$1:H$9955,MATCH($A45,ESLData!$B$1:$B$9955,0))*-1</f>
        <v>26200</v>
      </c>
      <c r="J45" s="382" t="s">
        <v>1304</v>
      </c>
      <c r="K45" s="368" t="str">
        <f>IF(ISNA(HLOOKUP("start",ESLData!C$1:C$9955,MATCH($A45,ESLData!$B$1:$B$9955,0))),"",HLOOKUP("start",ESLData!C$1:C$9955,MATCH($A45,ESLData!$B$1:$B$9955,0)))</f>
        <v>Donations - Other</v>
      </c>
    </row>
    <row r="46" spans="1:11" ht="14.25" customHeight="1" x14ac:dyDescent="0.2">
      <c r="A46" s="364">
        <v>10700</v>
      </c>
      <c r="C46" s="363">
        <f>HLOOKUP("start",ESLData!E$1:E$9955,MATCH($A46,ESLData!$B$1:$B$9955,0))*-1</f>
        <v>0</v>
      </c>
      <c r="D46" s="400">
        <f>ROUND(SUM(C44:C46),0)</f>
        <v>1080</v>
      </c>
      <c r="E46" s="363">
        <f>HLOOKUP("start",ESLData!F$1:F$9955,MATCH($A46,ESLData!$B$1:$B$9955,0))*-1</f>
        <v>0</v>
      </c>
      <c r="F46" s="381">
        <f>ROUND(SUM(E44:E46),0)</f>
        <v>350</v>
      </c>
      <c r="G46" s="363">
        <f>HLOOKUP("start",ESLData!H$1:H$9955,MATCH($A46,ESLData!$B$1:$B$9955,0))*-1</f>
        <v>5000</v>
      </c>
      <c r="H46" s="400">
        <f>ROUND(SUM(G44:G46),0)</f>
        <v>31500</v>
      </c>
      <c r="J46" s="382" t="s">
        <v>1304</v>
      </c>
      <c r="K46" s="368" t="str">
        <f>IF(ISNA(HLOOKUP("start",ESLData!C$1:C$9955,MATCH($A46,ESLData!$B$1:$B$9955,0))),"",HLOOKUP("start",ESLData!C$1:C$9955,MATCH($A46,ESLData!$B$1:$B$9955,0)))</f>
        <v>Playground Donations&amp;Grants</v>
      </c>
    </row>
    <row r="47" spans="1:11" ht="14.25" customHeight="1" x14ac:dyDescent="0.2">
      <c r="A47" s="367" t="s">
        <v>437</v>
      </c>
      <c r="C47" s="363"/>
      <c r="E47" s="363"/>
      <c r="G47" s="363"/>
      <c r="J47" s="382" t="s">
        <v>1304</v>
      </c>
      <c r="K47" s="368" t="str">
        <f>IF(ISNA(HLOOKUP("start",ESLData!C$1:C$9955,MATCH($A47,ESLData!$B$1:$B$9955,0))),"",HLOOKUP("start",ESLData!C$1:C$9955,MATCH($A47,ESLData!$B$1:$B$9955,0)))</f>
        <v/>
      </c>
    </row>
    <row r="48" spans="1:11" ht="14.25" customHeight="1" x14ac:dyDescent="0.2">
      <c r="A48" s="364">
        <v>10710</v>
      </c>
      <c r="C48" s="363">
        <f>HLOOKUP("start",ESLData!E$1:E$9955,MATCH($A48,ESLData!$B$1:$B$9955,0))*-1</f>
        <v>1111.77</v>
      </c>
      <c r="E48" s="363">
        <f>HLOOKUP("start",ESLData!F$1:F$9955,MATCH($A48,ESLData!$B$1:$B$9955,0))*-1</f>
        <v>750</v>
      </c>
      <c r="G48" s="363">
        <f>HLOOKUP("start",ESLData!H$1:H$9955,MATCH($A48,ESLData!$B$1:$B$9955,0))*-1</f>
        <v>1229.67</v>
      </c>
      <c r="J48" s="382" t="s">
        <v>1304</v>
      </c>
      <c r="K48" s="368" t="str">
        <f>IF(ISNA(HLOOKUP("start",ESLData!C$1:C$9955,MATCH($A48,ESLData!$B$1:$B$9955,0))),"",HLOOKUP("start",ESLData!C$1:C$9955,MATCH($A48,ESLData!$B$1:$B$9955,0)))</f>
        <v>Commissions</v>
      </c>
    </row>
    <row r="49" spans="1:16" ht="14.25" customHeight="1" x14ac:dyDescent="0.2">
      <c r="A49" s="364">
        <v>10800</v>
      </c>
      <c r="C49" s="363">
        <f>HLOOKUP("start",ESLData!E$1:E$9955,MATCH($A49,ESLData!$B$1:$B$9955,0))*-1</f>
        <v>0</v>
      </c>
      <c r="E49" s="363">
        <f>HLOOKUP("start",ESLData!F$1:F$9955,MATCH($A49,ESLData!$B$1:$B$9955,0))*-1</f>
        <v>0</v>
      </c>
      <c r="G49" s="363">
        <f>HLOOKUP("start",ESLData!H$1:H$9955,MATCH($A49,ESLData!$B$1:$B$9955,0))*-1</f>
        <v>0</v>
      </c>
      <c r="J49" s="382" t="s">
        <v>1304</v>
      </c>
      <c r="K49" s="368" t="str">
        <f>IF(ISNA(HLOOKUP("start",ESLData!C$1:C$9955,MATCH($A49,ESLData!$B$1:$B$9955,0))),"",HLOOKUP("start",ESLData!C$1:C$9955,MATCH($A49,ESLData!$B$1:$B$9955,0)))</f>
        <v>Fundraising Income</v>
      </c>
    </row>
    <row r="50" spans="1:16" ht="14.25" customHeight="1" x14ac:dyDescent="0.2">
      <c r="A50" s="364">
        <v>10890</v>
      </c>
      <c r="C50" s="363">
        <f>HLOOKUP("start",ESLData!E$1:E$9955,MATCH($A50,ESLData!$B$1:$B$9955,0))*-1</f>
        <v>23725</v>
      </c>
      <c r="E50" s="363">
        <f>HLOOKUP("start",ESLData!F$1:F$9955,MATCH($A50,ESLData!$B$1:$B$9955,0))*-1</f>
        <v>17000</v>
      </c>
      <c r="G50" s="363">
        <f>HLOOKUP("start",ESLData!H$1:H$9955,MATCH($A50,ESLData!$B$1:$B$9955,0))*-1</f>
        <v>26325</v>
      </c>
      <c r="J50" s="382" t="s">
        <v>1304</v>
      </c>
      <c r="K50" s="368" t="str">
        <f>IF(ISNA(HLOOKUP("start",ESLData!C$1:C$9955,MATCH($A50,ESLData!$B$1:$B$9955,0))),"",HLOOKUP("start",ESLData!C$1:C$9955,MATCH($A50,ESLData!$B$1:$B$9955,0)))</f>
        <v>Immersion Course Accommodation</v>
      </c>
    </row>
    <row r="51" spans="1:16" ht="14.25" customHeight="1" x14ac:dyDescent="0.2">
      <c r="A51" s="364">
        <v>10895</v>
      </c>
      <c r="C51" s="363">
        <f>HLOOKUP("start",ESLData!E$1:E$9955,MATCH($A51,ESLData!$B$1:$B$9955,0))*-1</f>
        <v>0</v>
      </c>
      <c r="E51" s="363">
        <f>HLOOKUP("start",ESLData!F$1:F$9955,MATCH($A51,ESLData!$B$1:$B$9955,0))*-1</f>
        <v>0</v>
      </c>
      <c r="G51" s="363">
        <f>HLOOKUP("start",ESLData!H$1:H$9955,MATCH($A51,ESLData!$B$1:$B$9955,0))*-1</f>
        <v>0</v>
      </c>
      <c r="J51" s="382" t="s">
        <v>1304</v>
      </c>
      <c r="K51" s="368" t="str">
        <f>IF(ISNA(HLOOKUP("start",ESLData!C$1:C$9955,MATCH($A51,ESLData!$B$1:$B$9955,0))),"",HLOOKUP("start",ESLData!C$1:C$9955,MATCH($A51,ESLData!$B$1:$B$9955,0)))</f>
        <v>Sponsorships Received</v>
      </c>
    </row>
    <row r="52" spans="1:16" ht="14.25" customHeight="1" x14ac:dyDescent="0.2">
      <c r="A52" s="364">
        <v>10900</v>
      </c>
      <c r="C52" s="363">
        <f>HLOOKUP("start",ESLData!E$1:E$9955,MATCH($A52,ESLData!$B$1:$B$9955,0))*-1</f>
        <v>27045.91</v>
      </c>
      <c r="D52" s="400">
        <f>ROUND(SUM(C48:C52),0)</f>
        <v>51883</v>
      </c>
      <c r="E52" s="363">
        <f>HLOOKUP("start",ESLData!F$1:F$9955,MATCH($A52,ESLData!$B$1:$B$9955,0))*-1</f>
        <v>22000</v>
      </c>
      <c r="F52" s="381">
        <f>ROUND(SUM(E48:E52),0)</f>
        <v>39750</v>
      </c>
      <c r="G52" s="363">
        <f>HLOOKUP("start",ESLData!H$1:H$9955,MATCH($A52,ESLData!$B$1:$B$9955,0))*-1</f>
        <v>23506.98</v>
      </c>
      <c r="H52" s="400">
        <f>ROUND(SUM(G48:G52),0)</f>
        <v>51062</v>
      </c>
      <c r="J52" s="382" t="s">
        <v>1304</v>
      </c>
      <c r="K52" s="368" t="str">
        <f>IF(ISNA(HLOOKUP("start",ESLData!C$1:C$9955,MATCH($A52,ESLData!$B$1:$B$9955,0))),"",HLOOKUP("start",ESLData!C$1:C$9955,MATCH($A52,ESLData!$B$1:$B$9955,0)))</f>
        <v>Sundry Income</v>
      </c>
    </row>
    <row r="53" spans="1:16" ht="14.25" customHeight="1" x14ac:dyDescent="0.2">
      <c r="A53" s="367" t="s">
        <v>596</v>
      </c>
      <c r="C53" s="363"/>
      <c r="E53" s="363"/>
      <c r="G53" s="363"/>
      <c r="J53" s="382" t="s">
        <v>1304</v>
      </c>
      <c r="K53" s="368" t="str">
        <f>IF(ISNA(HLOOKUP("start",ESLData!C$1:C$9955,MATCH($A53,ESLData!$B$1:$B$9955,0))),"",HLOOKUP("start",ESLData!C$1:C$9955,MATCH($A53,ESLData!$B$1:$B$9955,0)))</f>
        <v/>
      </c>
    </row>
    <row r="54" spans="1:16" ht="14.25" customHeight="1" x14ac:dyDescent="0.2">
      <c r="A54" s="364">
        <v>10801</v>
      </c>
      <c r="C54" s="363">
        <f>HLOOKUP("start",ESLData!E$1:E$9955,MATCH($A54,ESLData!$B$1:$B$9955,0))</f>
        <v>0</v>
      </c>
      <c r="D54" s="369"/>
      <c r="E54" s="363">
        <f>HLOOKUP("start",ESLData!F$1:F$9955,MATCH($A54,ESLData!$B$1:$B$9955,0))*-1</f>
        <v>0</v>
      </c>
      <c r="F54" s="369"/>
      <c r="G54" s="363">
        <f>HLOOKUP("start",ESLData!H$1:H$9955,MATCH($A54,ESLData!$B$1:$B$9955,0))*-1</f>
        <v>0</v>
      </c>
      <c r="H54" s="369"/>
      <c r="J54" s="382" t="s">
        <v>1304</v>
      </c>
      <c r="K54" s="368" t="str">
        <f>IF(ISNA(HLOOKUP("start",ESLData!C$1:C$9955,MATCH($A54,ESLData!$B$1:$B$9955,0))),"",HLOOKUP("start",ESLData!C$1:C$9955,MATCH($A54,ESLData!$B$1:$B$9955,0)))</f>
        <v>Fundraising Expenditure</v>
      </c>
    </row>
    <row r="55" spans="1:16" ht="14.25" customHeight="1" x14ac:dyDescent="0.2">
      <c r="A55" s="364">
        <v>10901</v>
      </c>
      <c r="C55" s="363">
        <f>HLOOKUP("start",ESLData!E$1:E$9955,MATCH($A55,ESLData!$B$1:$B$9955,0))</f>
        <v>-1717.88</v>
      </c>
      <c r="D55" s="369">
        <f>SUM(C54:C55)</f>
        <v>-1717.88</v>
      </c>
      <c r="E55" s="363">
        <f>HLOOKUP("start",ESLData!F$1:F$9955,MATCH($A55,ESLData!$B$1:$B$9955,0))</f>
        <v>0</v>
      </c>
      <c r="G55" s="402">
        <f>HLOOKUP("start",ESLData!H$1:H$9955,MATCH($A55,ESLData!$B$1:$B$9955,0))</f>
        <v>7191.02</v>
      </c>
      <c r="H55" s="369">
        <f>SUM(G54:G55)</f>
        <v>7191.02</v>
      </c>
      <c r="J55" s="382" t="s">
        <v>1304</v>
      </c>
      <c r="K55" s="368" t="str">
        <f>IF(ISNA(HLOOKUP("start",ESLData!C$1:C$9955,MATCH($A55,ESLData!$B$1:$B$9955,0))),"",HLOOKUP("start",ESLData!C$1:C$9955,MATCH($A55,ESLData!$B$1:$B$9955,0)))</f>
        <v>Sundry Expenditure</v>
      </c>
      <c r="P55" s="366" t="s">
        <v>1014</v>
      </c>
    </row>
    <row r="56" spans="1:16" ht="14.25" customHeight="1" x14ac:dyDescent="0.2">
      <c r="C56" s="363"/>
      <c r="D56" s="401">
        <f>ROUND(C55,0)</f>
        <v>-1718</v>
      </c>
      <c r="E56" s="363"/>
      <c r="G56" s="363"/>
      <c r="H56" s="401">
        <f>ROUND(G55,0)</f>
        <v>7191</v>
      </c>
      <c r="J56" s="382"/>
      <c r="K56" s="368"/>
      <c r="P56" s="366"/>
    </row>
    <row r="57" spans="1:16" ht="14.25" customHeight="1" x14ac:dyDescent="0.2">
      <c r="A57" s="367" t="s">
        <v>445</v>
      </c>
      <c r="C57" s="363"/>
      <c r="E57" s="363"/>
      <c r="G57" s="363"/>
      <c r="J57" s="382" t="s">
        <v>1304</v>
      </c>
      <c r="K57" s="368" t="str">
        <f>IF(ISNA(HLOOKUP("start",ESLData!C$1:C$9955,MATCH($A57,ESLData!$B$1:$B$9955,0))),"",HLOOKUP("start",ESLData!C$1:C$9955,MATCH($A57,ESLData!$B$1:$B$9955,0)))</f>
        <v/>
      </c>
      <c r="O57" s="366" t="s">
        <v>1014</v>
      </c>
    </row>
    <row r="58" spans="1:16" ht="14.25" customHeight="1" x14ac:dyDescent="0.2">
      <c r="A58" s="364">
        <v>10420</v>
      </c>
      <c r="C58" s="363">
        <f>HLOOKUP("start",ESLData!E$1:E$9955,MATCH($A58,ESLData!$B$1:$B$9955,0))*-1</f>
        <v>0</v>
      </c>
      <c r="E58" s="363">
        <f>HLOOKUP("start",ESLData!F$1:F$9955,MATCH($A58,ESLData!$B$1:$B$9955,0))*-1</f>
        <v>0</v>
      </c>
      <c r="G58" s="363">
        <f>HLOOKUP("start",ESLData!H$1:H$9955,MATCH($A58,ESLData!$B$1:$B$9955,0))*-1</f>
        <v>0</v>
      </c>
      <c r="J58" s="382" t="s">
        <v>1304</v>
      </c>
      <c r="K58" s="368" t="str">
        <f>IF(ISNA(HLOOKUP("start",ESLData!C$1:C$9955,MATCH($A58,ESLData!$B$1:$B$9955,0))),"",HLOOKUP("start",ESLData!C$1:C$9955,MATCH($A58,ESLData!$B$1:$B$9955,0)))</f>
        <v>National Assessment Recoveries</v>
      </c>
    </row>
    <row r="59" spans="1:16" ht="14.25" customHeight="1" x14ac:dyDescent="0.2">
      <c r="A59" s="364">
        <v>10405</v>
      </c>
      <c r="C59" s="363">
        <f>HLOOKUP("start",ESLData!E$1:E$9955,MATCH($A59,ESLData!$B$1:$B$9955,0))*-1</f>
        <v>7460</v>
      </c>
      <c r="E59" s="363">
        <f>HLOOKUP("start",ESLData!F$1:F$9955,MATCH($A59,ESLData!$B$1:$B$9955,0))*-1</f>
        <v>18750</v>
      </c>
      <c r="G59" s="363">
        <f>HLOOKUP("start",ESLData!H$1:H$9955,MATCH($A59,ESLData!$B$1:$B$9955,0))*-1</f>
        <v>14149.87</v>
      </c>
      <c r="J59" s="382" t="s">
        <v>1304</v>
      </c>
      <c r="K59" s="368" t="str">
        <f>IF(ISNA(HLOOKUP("start",ESLData!C$1:C$9955,MATCH($A59,ESLData!$B$1:$B$9955,0))),"",HLOOKUP("start",ESLData!C$1:C$9955,MATCH($A59,ESLData!$B$1:$B$9955,0)))</f>
        <v>O&amp;M Income</v>
      </c>
    </row>
    <row r="60" spans="1:16" ht="14.25" customHeight="1" x14ac:dyDescent="0.2">
      <c r="A60" s="364">
        <v>10430</v>
      </c>
      <c r="C60" s="363">
        <f>HLOOKUP("start",ESLData!E$1:E$9955,MATCH($A60,ESLData!$B$1:$B$9955,0))*-1</f>
        <v>13039.56</v>
      </c>
      <c r="E60" s="363">
        <f>HLOOKUP("start",ESLData!F$1:F$9955,MATCH($A60,ESLData!$B$1:$B$9955,0))*-1</f>
        <v>18830</v>
      </c>
      <c r="G60" s="363">
        <f>HLOOKUP("start",ESLData!H$1:H$9955,MATCH($A60,ESLData!$B$1:$B$9955,0))*-1</f>
        <v>18829.560000000001</v>
      </c>
      <c r="J60" s="382" t="s">
        <v>1304</v>
      </c>
      <c r="K60" s="368" t="str">
        <f>IF(ISNA(HLOOKUP("start",ESLData!C$1:C$9955,MATCH($A60,ESLData!$B$1:$B$9955,0))),"",HLOOKUP("start",ESLData!C$1:C$9955,MATCH($A60,ESLData!$B$1:$B$9955,0)))</f>
        <v>ECC Expense Recoveries</v>
      </c>
    </row>
    <row r="61" spans="1:16" ht="14.25" customHeight="1" x14ac:dyDescent="0.2">
      <c r="A61" s="364">
        <v>10440</v>
      </c>
      <c r="C61" s="363">
        <f>HLOOKUP("start",ESLData!E$1:E$9955,MATCH($A61,ESLData!$B$1:$B$9955,0))*-1</f>
        <v>0</v>
      </c>
      <c r="E61" s="363">
        <f>HLOOKUP("start",ESLData!F$1:F$9955,MATCH($A61,ESLData!$B$1:$B$9955,0))*-1</f>
        <v>0</v>
      </c>
      <c r="G61" s="363">
        <f>HLOOKUP("start",ESLData!H$1:H$9955,MATCH($A61,ESLData!$B$1:$B$9955,0))*-1</f>
        <v>0</v>
      </c>
      <c r="J61" s="382" t="s">
        <v>1304</v>
      </c>
      <c r="K61" s="368" t="str">
        <f>IF(ISNA(HLOOKUP("start",ESLData!C$1:C$9955,MATCH($A61,ESLData!$B$1:$B$9955,0))),"",HLOOKUP("start",ESLData!C$1:C$9955,MATCH($A61,ESLData!$B$1:$B$9955,0)))</f>
        <v>Maori Research Project</v>
      </c>
    </row>
    <row r="62" spans="1:16" ht="14.25" customHeight="1" x14ac:dyDescent="0.2">
      <c r="A62" s="364">
        <v>10450</v>
      </c>
      <c r="C62" s="363">
        <f>HLOOKUP("start",ESLData!E$1:E$9955,MATCH($A62,ESLData!$B$1:$B$9955,0))*-1</f>
        <v>0</v>
      </c>
      <c r="E62" s="363">
        <f>HLOOKUP("start",ESLData!F$1:F$9955,MATCH($A62,ESLData!$B$1:$B$9955,0))*-1</f>
        <v>0</v>
      </c>
      <c r="G62" s="363">
        <f>HLOOKUP("start",ESLData!H$1:H$9955,MATCH($A62,ESLData!$B$1:$B$9955,0))*-1</f>
        <v>0</v>
      </c>
      <c r="J62" s="382" t="s">
        <v>1304</v>
      </c>
      <c r="K62" s="368" t="str">
        <f>IF(ISNA(HLOOKUP("start",ESLData!C$1:C$9955,MATCH($A62,ESLData!$B$1:$B$9955,0))),"",HLOOKUP("start",ESLData!C$1:C$9955,MATCH($A62,ESLData!$B$1:$B$9955,0)))</f>
        <v>Vision Edu Agency Contract</v>
      </c>
    </row>
    <row r="63" spans="1:16" ht="14.25" customHeight="1" x14ac:dyDescent="0.2">
      <c r="A63" s="364">
        <v>10850</v>
      </c>
      <c r="C63" s="363">
        <f>HLOOKUP("start",ESLData!E$1:E$9955,MATCH($A63,ESLData!$B$1:$B$9955,0))*-1</f>
        <v>0</v>
      </c>
      <c r="E63" s="363">
        <f>HLOOKUP("start",ESLData!F$1:F$9955,MATCH($A63,ESLData!$B$1:$B$9955,0))*-1</f>
        <v>0</v>
      </c>
      <c r="G63" s="363">
        <f>HLOOKUP("start",ESLData!H$1:H$9955,MATCH($A63,ESLData!$B$1:$B$9955,0))*-1</f>
        <v>0</v>
      </c>
      <c r="J63" s="382" t="s">
        <v>1304</v>
      </c>
      <c r="K63" s="368" t="str">
        <f>IF(ISNA(HLOOKUP("start",ESLData!C$1:C$9955,MATCH($A63,ESLData!$B$1:$B$9955,0))),"",HLOOKUP("start",ESLData!C$1:C$9955,MATCH($A63,ESLData!$B$1:$B$9955,0)))</f>
        <v>Music Income</v>
      </c>
    </row>
    <row r="64" spans="1:16" ht="14.25" customHeight="1" x14ac:dyDescent="0.2">
      <c r="A64" s="364">
        <v>10990</v>
      </c>
      <c r="C64" s="363">
        <f>HLOOKUP("start",ESLData!E$1:E$9955,MATCH($A64,ESLData!$B$1:$B$9955,0))*-1</f>
        <v>0</v>
      </c>
      <c r="E64" s="363">
        <f>HLOOKUP("start",ESLData!F$1:F$9955,MATCH($A64,ESLData!$B$1:$B$9955,0))*-1</f>
        <v>0</v>
      </c>
      <c r="G64" s="363">
        <f>HLOOKUP("start",ESLData!H$1:H$9955,MATCH($A64,ESLData!$B$1:$B$9955,0))*-1</f>
        <v>0</v>
      </c>
      <c r="J64" s="382" t="s">
        <v>1304</v>
      </c>
      <c r="K64" s="368" t="str">
        <f>IF(ISNA(HLOOKUP("start",ESLData!C$1:C$9955,MATCH($A64,ESLData!$B$1:$B$9955,0))),"",HLOOKUP("start",ESLData!C$1:C$9955,MATCH($A64,ESLData!$B$1:$B$9955,0)))</f>
        <v>Music School Income</v>
      </c>
    </row>
    <row r="65" spans="1:11" ht="14.25" customHeight="1" x14ac:dyDescent="0.2">
      <c r="A65" s="364">
        <v>10903</v>
      </c>
      <c r="C65" s="363">
        <f>HLOOKUP("start",ESLData!E$1:E$9955,MATCH($A65,ESLData!$B$1:$B$9955,0))*-1</f>
        <v>0</v>
      </c>
      <c r="E65" s="363">
        <f>HLOOKUP("start",ESLData!F$1:F$9955,MATCH($A65,ESLData!$B$1:$B$9955,0))*-1</f>
        <v>0</v>
      </c>
      <c r="G65" s="363">
        <f>HLOOKUP("start",ESLData!H$1:H$9955,MATCH($A65,ESLData!$B$1:$B$9955,0))*-1</f>
        <v>0</v>
      </c>
      <c r="J65" s="382" t="s">
        <v>1304</v>
      </c>
      <c r="K65" s="368" t="str">
        <f>IF(ISNA(HLOOKUP("start",ESLData!C$1:C$9955,MATCH($A65,ESLData!$B$1:$B$9955,0))),"",HLOOKUP("start",ESLData!C$1:C$9955,MATCH($A65,ESLData!$B$1:$B$9955,0)))</f>
        <v>RNZF Reimbursements</v>
      </c>
    </row>
    <row r="66" spans="1:11" ht="14.25" customHeight="1" x14ac:dyDescent="0.2">
      <c r="A66" s="364">
        <v>21000</v>
      </c>
      <c r="C66" s="363">
        <f>HLOOKUP("start",ESLData!E$1:E$9955,MATCH($A66,ESLData!$B$1:$B$9955,0))*-1</f>
        <v>308.27999999999997</v>
      </c>
      <c r="E66" s="363">
        <f>HLOOKUP("start",ESLData!F$1:F$9955,MATCH($A66,ESLData!$B$1:$B$9955,0))*-1</f>
        <v>150</v>
      </c>
      <c r="G66" s="363">
        <f>HLOOKUP("start",ESLData!H$1:H$9955,MATCH($A66,ESLData!$B$1:$B$9955,0))*-1</f>
        <v>367.39</v>
      </c>
      <c r="J66" s="382" t="s">
        <v>1304</v>
      </c>
      <c r="K66" s="368" t="str">
        <f>IF(ISNA(HLOOKUP("start",ESLData!C$1:C$9955,MATCH($A66,ESLData!$B$1:$B$9955,0))),"",HLOOKUP("start",ESLData!C$1:C$9955,MATCH($A66,ESLData!$B$1:$B$9955,0)))</f>
        <v>Activities Income</v>
      </c>
    </row>
    <row r="67" spans="1:11" ht="14.25" customHeight="1" x14ac:dyDescent="0.2">
      <c r="A67" s="364">
        <v>21110</v>
      </c>
      <c r="C67" s="363">
        <f>HLOOKUP("start",ESLData!E$1:E$9955,MATCH($A67,ESLData!$B$1:$B$9955,0))*-1</f>
        <v>0</v>
      </c>
      <c r="E67" s="363">
        <f>HLOOKUP("start",ESLData!F$1:F$9955,MATCH($A67,ESLData!$B$1:$B$9955,0))*-1</f>
        <v>0</v>
      </c>
      <c r="G67" s="363">
        <f>HLOOKUP("start",ESLData!H$1:H$9955,MATCH($A67,ESLData!$B$1:$B$9955,0))*-1</f>
        <v>0</v>
      </c>
      <c r="J67" s="382" t="s">
        <v>1304</v>
      </c>
      <c r="K67" s="368" t="str">
        <f>IF(ISNA(HLOOKUP("start",ESLData!C$1:C$9955,MATCH($A67,ESLData!$B$1:$B$9955,0))),"",HLOOKUP("start",ESLData!C$1:C$9955,MATCH($A67,ESLData!$B$1:$B$9955,0)))</f>
        <v>ICT Cluster  - MOE Contract</v>
      </c>
    </row>
    <row r="68" spans="1:11" ht="14.25" customHeight="1" x14ac:dyDescent="0.2">
      <c r="A68" s="364">
        <v>21170</v>
      </c>
      <c r="C68" s="363">
        <f>HLOOKUP("start",ESLData!E$1:E$9955,MATCH($A68,ESLData!$B$1:$B$9955,0))*-1</f>
        <v>0</v>
      </c>
      <c r="D68" s="400">
        <f>ROUND(SUM(C58:C68),0)</f>
        <v>20808</v>
      </c>
      <c r="E68" s="363">
        <f>HLOOKUP("start",ESLData!F$1:F$9955,MATCH($A68,ESLData!$B$1:$B$9955,0))*-1</f>
        <v>0</v>
      </c>
      <c r="F68" s="381">
        <f>ROUND(SUM(E58:E68),0)</f>
        <v>37730</v>
      </c>
      <c r="G68" s="363">
        <f>HLOOKUP("start",ESLData!H$1:H$9955,MATCH($A68,ESLData!$B$1:$B$9955,0))*-1</f>
        <v>0</v>
      </c>
      <c r="H68" s="400">
        <f>ROUND(SUM(G58:G68),0)</f>
        <v>33347</v>
      </c>
      <c r="J68" s="382" t="s">
        <v>1304</v>
      </c>
      <c r="K68" s="368" t="str">
        <f>IF(ISNA(HLOOKUP("start",ESLData!C$1:C$9955,MATCH($A68,ESLData!$B$1:$B$9955,0))),"",HLOOKUP("start",ESLData!C$1:C$9955,MATCH($A68,ESLData!$B$1:$B$9955,0)))</f>
        <v>Staff Travel &amp; Accommodation</v>
      </c>
    </row>
    <row r="69" spans="1:11" ht="14.25" customHeight="1" x14ac:dyDescent="0.2">
      <c r="A69" s="367" t="s">
        <v>597</v>
      </c>
      <c r="C69" s="363"/>
      <c r="E69" s="363"/>
      <c r="G69" s="363"/>
      <c r="J69" s="382" t="s">
        <v>1304</v>
      </c>
      <c r="K69" s="368" t="str">
        <f>IF(ISNA(HLOOKUP("start",ESLData!C$1:C$9955,MATCH($A69,ESLData!$B$1:$B$9955,0))),"",HLOOKUP("start",ESLData!C$1:C$9955,MATCH($A69,ESLData!$B$1:$B$9955,0)))</f>
        <v/>
      </c>
    </row>
    <row r="70" spans="1:11" ht="14.25" customHeight="1" x14ac:dyDescent="0.2">
      <c r="A70" s="364">
        <v>21100</v>
      </c>
      <c r="C70" s="363">
        <f>HLOOKUP("start",ESLData!E$1:E$9955,MATCH($A70,ESLData!$B$1:$B$9955,0))</f>
        <v>0</v>
      </c>
      <c r="D70" s="401">
        <f>ROUND(C70,0)</f>
        <v>0</v>
      </c>
      <c r="E70" s="363">
        <f>HLOOKUP("start",ESLData!F$1:F$9955,MATCH($A70,ESLData!$B$1:$B$9955,0))*-1</f>
        <v>0</v>
      </c>
      <c r="F70" s="369">
        <f>ROUND(E70,0)</f>
        <v>0</v>
      </c>
      <c r="G70" s="363">
        <f>HLOOKUP("start",ESLData!H$1:H$9955,MATCH($A70,ESLData!$B$1:$B$9955,0))*-1</f>
        <v>0</v>
      </c>
      <c r="H70" s="401">
        <f>ROUND(G70,0)</f>
        <v>0</v>
      </c>
      <c r="J70" s="382" t="s">
        <v>1304</v>
      </c>
      <c r="K70" s="368" t="str">
        <f>IF(ISNA(HLOOKUP("start",ESLData!C$1:C$9955,MATCH($A70,ESLData!$B$1:$B$9955,0))),"",HLOOKUP("start",ESLData!C$1:C$9955,MATCH($A70,ESLData!$B$1:$B$9955,0)))</f>
        <v>Activities Expenditure</v>
      </c>
    </row>
    <row r="71" spans="1:11" ht="14.25" customHeight="1" x14ac:dyDescent="0.2">
      <c r="A71" s="367" t="s">
        <v>598</v>
      </c>
      <c r="C71" s="363"/>
      <c r="E71" s="363"/>
      <c r="G71" s="363"/>
      <c r="J71" s="382" t="s">
        <v>1304</v>
      </c>
      <c r="K71" s="368" t="str">
        <f>IF(ISNA(HLOOKUP("start",ESLData!C$1:C$9955,MATCH($A71,ESLData!$B$1:$B$9955,0))),"",HLOOKUP("start",ESLData!C$1:C$9955,MATCH($A71,ESLData!$B$1:$B$9955,0)))</f>
        <v/>
      </c>
    </row>
    <row r="72" spans="1:11" ht="14.25" customHeight="1" x14ac:dyDescent="0.2">
      <c r="A72" s="364">
        <v>21800</v>
      </c>
      <c r="C72" s="363">
        <f>HLOOKUP("start",ESLData!E$1:E$9955,MATCH($A72,ESLData!$B$1:$B$9955,0))*-1</f>
        <v>0</v>
      </c>
      <c r="E72" s="363">
        <f>HLOOKUP("start",ESLData!F$1:F$9955,MATCH($A72,ESLData!$B$1:$B$9955,0))*-1</f>
        <v>0</v>
      </c>
      <c r="G72" s="363">
        <f>HLOOKUP("start",ESLData!H$1:H$9955,MATCH($A72,ESLData!$B$1:$B$9955,0))*-1</f>
        <v>0</v>
      </c>
      <c r="J72" s="382" t="s">
        <v>1304</v>
      </c>
      <c r="K72" s="368" t="str">
        <f>IF(ISNA(HLOOKUP("start",ESLData!C$1:C$9955,MATCH($A72,ESLData!$B$1:$B$9955,0))),"",HLOOKUP("start",ESLData!C$1:C$9955,MATCH($A72,ESLData!$B$1:$B$9955,0)))</f>
        <v>Kickstart Income</v>
      </c>
    </row>
    <row r="73" spans="1:11" ht="14.25" customHeight="1" x14ac:dyDescent="0.2">
      <c r="A73" s="364">
        <v>22000</v>
      </c>
      <c r="C73" s="363">
        <f>HLOOKUP("start",ESLData!E$1:E$9955,MATCH($A73,ESLData!$B$1:$B$9955,0))*-1</f>
        <v>756.47</v>
      </c>
      <c r="E73" s="363">
        <f>HLOOKUP("start",ESLData!F$1:F$9955,MATCH($A73,ESLData!$B$1:$B$9955,0))*-1</f>
        <v>8000</v>
      </c>
      <c r="G73" s="363">
        <f>HLOOKUP("start",ESLData!H$1:H$9955,MATCH($A73,ESLData!$B$1:$B$9955,0))*-1</f>
        <v>852.11</v>
      </c>
      <c r="J73" s="382" t="s">
        <v>1304</v>
      </c>
      <c r="K73" s="368" t="str">
        <f>IF(ISNA(HLOOKUP("start",ESLData!C$1:C$9955,MATCH($A73,ESLData!$B$1:$B$9955,0))),"",HLOOKUP("start",ESLData!C$1:C$9955,MATCH($A73,ESLData!$B$1:$B$9955,0)))</f>
        <v>Hostel Income</v>
      </c>
    </row>
    <row r="74" spans="1:11" ht="14.25" customHeight="1" x14ac:dyDescent="0.2">
      <c r="A74" s="364">
        <v>22200</v>
      </c>
      <c r="C74" s="363">
        <f>HLOOKUP("start",ESLData!E$1:E$9955,MATCH($A74,ESLData!$B$1:$B$9955,0))*-1</f>
        <v>0</v>
      </c>
      <c r="E74" s="363">
        <f>HLOOKUP("start",ESLData!F$1:F$9955,MATCH($A74,ESLData!$B$1:$B$9955,0))*-1</f>
        <v>0</v>
      </c>
      <c r="G74" s="363">
        <f>HLOOKUP("start",ESLData!H$1:H$9955,MATCH($A74,ESLData!$B$1:$B$9955,0))*-1</f>
        <v>69.569999999999993</v>
      </c>
      <c r="J74" s="382" t="s">
        <v>1304</v>
      </c>
      <c r="K74" s="368" t="str">
        <f>IF(ISNA(HLOOKUP("start",ESLData!C$1:C$9955,MATCH($A74,ESLData!$B$1:$B$9955,0))),"",HLOOKUP("start",ESLData!C$1:C$9955,MATCH($A74,ESLData!$B$1:$B$9955,0)))</f>
        <v>Itinerant Income</v>
      </c>
    </row>
    <row r="75" spans="1:11" ht="14.25" customHeight="1" x14ac:dyDescent="0.2">
      <c r="A75" s="364">
        <v>22400</v>
      </c>
      <c r="C75" s="363">
        <f>HLOOKUP("start",ESLData!E$1:E$9955,MATCH($A75,ESLData!$B$1:$B$9955,0))*-1</f>
        <v>34.78</v>
      </c>
      <c r="E75" s="363">
        <f>HLOOKUP("start",ESLData!F$1:F$9955,MATCH($A75,ESLData!$B$1:$B$9955,0))*-1</f>
        <v>350</v>
      </c>
      <c r="G75" s="363">
        <f>HLOOKUP("start",ESLData!H$1:H$9955,MATCH($A75,ESLData!$B$1:$B$9955,0))*-1</f>
        <v>360</v>
      </c>
      <c r="J75" s="382" t="s">
        <v>1304</v>
      </c>
      <c r="K75" s="368" t="str">
        <f>IF(ISNA(HLOOKUP("start",ESLData!C$1:C$9955,MATCH($A75,ESLData!$B$1:$B$9955,0))),"",HLOOKUP("start",ESLData!C$1:C$9955,MATCH($A75,ESLData!$B$1:$B$9955,0)))</f>
        <v>Braille Training Inc</v>
      </c>
    </row>
    <row r="76" spans="1:11" ht="14.25" customHeight="1" x14ac:dyDescent="0.2">
      <c r="A76" s="364">
        <v>23200</v>
      </c>
      <c r="C76" s="363">
        <f>HLOOKUP("start",ESLData!E$1:E$9955,MATCH($A76,ESLData!$B$1:$B$9955,0))*-1</f>
        <v>-1455.93</v>
      </c>
      <c r="E76" s="363">
        <f>HLOOKUP("start",ESLData!F$1:F$9955,MATCH($A76,ESLData!$B$1:$B$9955,0))*-1</f>
        <v>0</v>
      </c>
      <c r="G76" s="363">
        <f>HLOOKUP("start",ESLData!H$1:H$9955,MATCH($A76,ESLData!$B$1:$B$9955,0))*-1</f>
        <v>8834.73</v>
      </c>
      <c r="J76" s="382" t="s">
        <v>1304</v>
      </c>
      <c r="K76" s="368" t="str">
        <f>IF(ISNA(HLOOKUP("start",ESLData!C$1:C$9955,MATCH($A76,ESLData!$B$1:$B$9955,0))),"",HLOOKUP("start",ESLData!C$1:C$9955,MATCH($A76,ESLData!$B$1:$B$9955,0)))</f>
        <v>Hire School Facilities Income</v>
      </c>
    </row>
    <row r="77" spans="1:11" ht="14.25" customHeight="1" x14ac:dyDescent="0.2">
      <c r="A77" s="364">
        <v>23400</v>
      </c>
      <c r="C77" s="363">
        <f>HLOOKUP("start",ESLData!E$1:E$9955,MATCH($A77,ESLData!$B$1:$B$9955,0))*-1</f>
        <v>12988.38</v>
      </c>
      <c r="E77" s="363">
        <f>HLOOKUP("start",ESLData!F$1:F$9955,MATCH($A77,ESLData!$B$1:$B$9955,0))*-1</f>
        <v>4500</v>
      </c>
      <c r="G77" s="363">
        <f>HLOOKUP("start",ESLData!H$1:H$9955,MATCH($A77,ESLData!$B$1:$B$9955,0))*-1</f>
        <v>7343.22</v>
      </c>
      <c r="J77" s="382" t="s">
        <v>1304</v>
      </c>
      <c r="K77" s="368" t="str">
        <f>IF(ISNA(HLOOKUP("start",ESLData!C$1:C$9955,MATCH($A77,ESLData!$B$1:$B$9955,0))),"",HLOOKUP("start",ESLData!C$1:C$9955,MATCH($A77,ESLData!$B$1:$B$9955,0)))</f>
        <v>Homai Campus Income</v>
      </c>
    </row>
    <row r="78" spans="1:11" ht="14.25" customHeight="1" x14ac:dyDescent="0.2">
      <c r="A78" s="364">
        <v>23600</v>
      </c>
      <c r="C78" s="363">
        <f>HLOOKUP("start",ESLData!E$1:E$9955,MATCH($A78,ESLData!$B$1:$B$9955,0))*-1</f>
        <v>0</v>
      </c>
      <c r="E78" s="363">
        <f>HLOOKUP("start",ESLData!F$1:F$9955,MATCH($A78,ESLData!$B$1:$B$9955,0))*-1</f>
        <v>0</v>
      </c>
      <c r="G78" s="363">
        <f>HLOOKUP("start",ESLData!H$1:H$9955,MATCH($A78,ESLData!$B$1:$B$9955,0))*-1</f>
        <v>0</v>
      </c>
      <c r="J78" s="382" t="s">
        <v>1304</v>
      </c>
      <c r="K78" s="368" t="str">
        <f>IF(ISNA(HLOOKUP("start",ESLData!C$1:C$9955,MATCH($A78,ESLData!$B$1:$B$9955,0))),"",HLOOKUP("start",ESLData!C$1:C$9955,MATCH($A78,ESLData!$B$1:$B$9955,0)))</f>
        <v>Rental Income</v>
      </c>
    </row>
    <row r="79" spans="1:11" ht="14.25" customHeight="1" x14ac:dyDescent="0.2">
      <c r="A79" s="364">
        <v>24000</v>
      </c>
      <c r="C79" s="363">
        <f>HLOOKUP("start",ESLData!E$1:E$9955,MATCH($A79,ESLData!$B$1:$B$9955,0))*-1</f>
        <v>0</v>
      </c>
      <c r="E79" s="363">
        <f>HLOOKUP("start",ESLData!F$1:F$9955,MATCH($A79,ESLData!$B$1:$B$9955,0))*-1</f>
        <v>0</v>
      </c>
      <c r="G79" s="363">
        <f>HLOOKUP("start",ESLData!H$1:H$9955,MATCH($A79,ESLData!$B$1:$B$9955,0))*-1</f>
        <v>0</v>
      </c>
      <c r="J79" s="382" t="s">
        <v>1304</v>
      </c>
      <c r="K79" s="368" t="str">
        <f>IF(ISNA(HLOOKUP("start",ESLData!C$1:C$9955,MATCH($A79,ESLData!$B$1:$B$9955,0))),"",HLOOKUP("start",ESLData!C$1:C$9955,MATCH($A79,ESLData!$B$1:$B$9955,0)))</f>
        <v>Hostels Trading Income</v>
      </c>
    </row>
    <row r="80" spans="1:11" ht="14.25" customHeight="1" x14ac:dyDescent="0.2">
      <c r="A80" s="364">
        <v>24200</v>
      </c>
      <c r="C80" s="363">
        <f>HLOOKUP("start",ESLData!E$1:E$9955,MATCH($A80,ESLData!$B$1:$B$9955,0))*-1</f>
        <v>1101.47</v>
      </c>
      <c r="E80" s="363">
        <f>HLOOKUP("start",ESLData!F$1:F$9955,MATCH($A80,ESLData!$B$1:$B$9955,0))*-1</f>
        <v>1000</v>
      </c>
      <c r="G80" s="363">
        <f>HLOOKUP("start",ESLData!H$1:H$9955,MATCH($A80,ESLData!$B$1:$B$9955,0))*-1</f>
        <v>2248.87</v>
      </c>
      <c r="J80" s="382" t="s">
        <v>1304</v>
      </c>
      <c r="K80" s="368" t="str">
        <f>IF(ISNA(HLOOKUP("start",ESLData!C$1:C$9955,MATCH($A80,ESLData!$B$1:$B$9955,0))),"",HLOOKUP("start",ESLData!C$1:C$9955,MATCH($A80,ESLData!$B$1:$B$9955,0)))</f>
        <v>Vision Clinic Trading Income</v>
      </c>
    </row>
    <row r="81" spans="1:11" ht="14.25" customHeight="1" x14ac:dyDescent="0.2">
      <c r="A81" s="364">
        <v>24400</v>
      </c>
      <c r="C81" s="363">
        <f>HLOOKUP("start",ESLData!E$1:E$9955,MATCH($A81,ESLData!$B$1:$B$9955,0))*-1</f>
        <v>34084.99</v>
      </c>
      <c r="E81" s="363">
        <f>HLOOKUP("start",ESLData!F$1:F$9955,MATCH($A81,ESLData!$B$1:$B$9955,0))*-1</f>
        <v>44000</v>
      </c>
      <c r="G81" s="363">
        <f>HLOOKUP("start",ESLData!H$1:H$9955,MATCH($A81,ESLData!$B$1:$B$9955,0))*-1</f>
        <v>37383.79</v>
      </c>
      <c r="J81" s="382" t="s">
        <v>1304</v>
      </c>
      <c r="K81" s="368" t="str">
        <f>IF(ISNA(HLOOKUP("start",ESLData!C$1:C$9955,MATCH($A81,ESLData!$B$1:$B$9955,0))),"",HLOOKUP("start",ESLData!C$1:C$9955,MATCH($A81,ESLData!$B$1:$B$9955,0)))</f>
        <v>Auckland South VRC Income</v>
      </c>
    </row>
    <row r="82" spans="1:11" ht="14.25" customHeight="1" x14ac:dyDescent="0.2">
      <c r="A82" s="364">
        <v>24600</v>
      </c>
      <c r="C82" s="363">
        <f>HLOOKUP("start",ESLData!E$1:E$9955,MATCH($A82,ESLData!$B$1:$B$9955,0))*-1</f>
        <v>1299.17</v>
      </c>
      <c r="E82" s="363">
        <f>HLOOKUP("start",ESLData!F$1:F$9955,MATCH($A82,ESLData!$B$1:$B$9955,0))*-1</f>
        <v>200</v>
      </c>
      <c r="G82" s="363">
        <f>HLOOKUP("start",ESLData!H$1:H$9955,MATCH($A82,ESLData!$B$1:$B$9955,0))*-1</f>
        <v>161.72999999999999</v>
      </c>
      <c r="J82" s="382" t="s">
        <v>1304</v>
      </c>
      <c r="K82" s="368" t="str">
        <f>IF(ISNA(HLOOKUP("start",ESLData!C$1:C$9955,MATCH($A82,ESLData!$B$1:$B$9955,0))),"",HLOOKUP("start",ESLData!C$1:C$9955,MATCH($A82,ESLData!$B$1:$B$9955,0)))</f>
        <v>Northland VRC Income</v>
      </c>
    </row>
    <row r="83" spans="1:11" ht="14.25" customHeight="1" x14ac:dyDescent="0.2">
      <c r="A83" s="364">
        <v>24700</v>
      </c>
      <c r="C83" s="363">
        <f>HLOOKUP("start",ESLData!E$1:E$9955,MATCH($A83,ESLData!$B$1:$B$9955,0))*-1</f>
        <v>558.24</v>
      </c>
      <c r="E83" s="363">
        <f>HLOOKUP("start",ESLData!F$1:F$9955,MATCH($A83,ESLData!$B$1:$B$9955,0))*-1</f>
        <v>200</v>
      </c>
      <c r="G83" s="363">
        <f>HLOOKUP("start",ESLData!H$1:H$9955,MATCH($A83,ESLData!$B$1:$B$9955,0))*-1</f>
        <v>173.86</v>
      </c>
      <c r="J83" s="382" t="s">
        <v>1304</v>
      </c>
      <c r="K83" s="368" t="str">
        <f>IF(ISNA(HLOOKUP("start",ESLData!C$1:C$9955,MATCH($A83,ESLData!$B$1:$B$9955,0))),"",HLOOKUP("start",ESLData!C$1:C$9955,MATCH($A83,ESLData!$B$1:$B$9955,0)))</f>
        <v>Auckland North VRC Income</v>
      </c>
    </row>
    <row r="84" spans="1:11" ht="14.25" customHeight="1" x14ac:dyDescent="0.2">
      <c r="A84" s="364">
        <v>24800</v>
      </c>
      <c r="C84" s="363">
        <f>HLOOKUP("start",ESLData!E$1:E$9955,MATCH($A84,ESLData!$B$1:$B$9955,0))*-1</f>
        <v>0</v>
      </c>
      <c r="E84" s="363">
        <f>HLOOKUP("start",ESLData!F$1:F$9955,MATCH($A84,ESLData!$B$1:$B$9955,0))*-1</f>
        <v>0</v>
      </c>
      <c r="G84" s="363">
        <f>HLOOKUP("start",ESLData!H$1:H$9955,MATCH($A84,ESLData!$B$1:$B$9955,0))*-1</f>
        <v>0</v>
      </c>
      <c r="J84" s="382" t="s">
        <v>1304</v>
      </c>
      <c r="K84" s="368" t="str">
        <f>IF(ISNA(HLOOKUP("start",ESLData!C$1:C$9955,MATCH($A84,ESLData!$B$1:$B$9955,0))),"",HLOOKUP("start",ESLData!C$1:C$9955,MATCH($A84,ESLData!$B$1:$B$9955,0)))</f>
        <v>Nelson VRC - Income</v>
      </c>
    </row>
    <row r="85" spans="1:11" ht="14.25" customHeight="1" x14ac:dyDescent="0.2">
      <c r="A85" s="364">
        <v>24802</v>
      </c>
      <c r="C85" s="363">
        <f>HLOOKUP("start",ESLData!E$1:E$9955,MATCH($A85,ESLData!$B$1:$B$9955,0))*-1</f>
        <v>1154.1300000000001</v>
      </c>
      <c r="E85" s="363">
        <f>HLOOKUP("start",ESLData!F$1:F$9955,MATCH($A85,ESLData!$B$1:$B$9955,0))*-1</f>
        <v>1500</v>
      </c>
      <c r="G85" s="363">
        <f>HLOOKUP("start",ESLData!H$1:H$9955,MATCH($A85,ESLData!$B$1:$B$9955,0))*-1</f>
        <v>1405.86</v>
      </c>
      <c r="J85" s="382" t="s">
        <v>1304</v>
      </c>
      <c r="K85" s="368" t="str">
        <f>IF(ISNA(HLOOKUP("start",ESLData!C$1:C$9955,MATCH($A85,ESLData!$B$1:$B$9955,0))),"",HLOOKUP("start",ESLData!C$1:C$9955,MATCH($A85,ESLData!$B$1:$B$9955,0)))</f>
        <v>Otago VRC - Income</v>
      </c>
    </row>
    <row r="86" spans="1:11" ht="14.25" customHeight="1" x14ac:dyDescent="0.2">
      <c r="A86" s="364">
        <v>24820</v>
      </c>
      <c r="C86" s="363">
        <f>HLOOKUP("start",ESLData!E$1:E$9955,MATCH($A86,ESLData!$B$1:$B$9955,0))*-1</f>
        <v>0</v>
      </c>
      <c r="E86" s="363">
        <f>HLOOKUP("start",ESLData!F$1:F$9955,MATCH($A86,ESLData!$B$1:$B$9955,0))*-1</f>
        <v>1000</v>
      </c>
      <c r="G86" s="363">
        <f>HLOOKUP("start",ESLData!H$1:H$9955,MATCH($A86,ESLData!$B$1:$B$9955,0))*-1</f>
        <v>469.56</v>
      </c>
      <c r="J86" s="382" t="s">
        <v>1304</v>
      </c>
      <c r="K86" s="368" t="str">
        <f>IF(ISNA(HLOOKUP("start",ESLData!C$1:C$9955,MATCH($A86,ESLData!$B$1:$B$9955,0))),"",HLOOKUP("start",ESLData!C$1:C$9955,MATCH($A86,ESLData!$B$1:$B$9955,0)))</f>
        <v>Southland VRC - Income</v>
      </c>
    </row>
    <row r="87" spans="1:11" ht="14.25" customHeight="1" x14ac:dyDescent="0.2">
      <c r="A87" s="364">
        <v>24830</v>
      </c>
      <c r="C87" s="363">
        <f>HLOOKUP("start",ESLData!E$1:E$9955,MATCH($A87,ESLData!$B$1:$B$9955,0))*-1</f>
        <v>35319.910000000003</v>
      </c>
      <c r="E87" s="363">
        <f>HLOOKUP("start",ESLData!F$1:F$9955,MATCH($A87,ESLData!$B$1:$B$9955,0))*-1</f>
        <v>21100</v>
      </c>
      <c r="G87" s="363">
        <f>HLOOKUP("start",ESLData!H$1:H$9955,MATCH($A87,ESLData!$B$1:$B$9955,0))*-1</f>
        <v>29578.98</v>
      </c>
      <c r="J87" s="382" t="s">
        <v>1304</v>
      </c>
      <c r="K87" s="368" t="str">
        <f>IF(ISNA(HLOOKUP("start",ESLData!C$1:C$9955,MATCH($A87,ESLData!$B$1:$B$9955,0))),"",HLOOKUP("start",ESLData!C$1:C$9955,MATCH($A87,ESLData!$B$1:$B$9955,0)))</f>
        <v>Christchurch VRC - Income</v>
      </c>
    </row>
    <row r="88" spans="1:11" ht="14.25" customHeight="1" x14ac:dyDescent="0.2">
      <c r="A88" s="364">
        <v>24840</v>
      </c>
      <c r="C88" s="363">
        <f>HLOOKUP("start",ESLData!E$1:E$9955,MATCH($A88,ESLData!$B$1:$B$9955,0))*-1</f>
        <v>13948.14</v>
      </c>
      <c r="E88" s="363">
        <f>HLOOKUP("start",ESLData!F$1:F$9955,MATCH($A88,ESLData!$B$1:$B$9955,0))*-1</f>
        <v>750</v>
      </c>
      <c r="G88" s="363">
        <f>HLOOKUP("start",ESLData!H$1:H$9955,MATCH($A88,ESLData!$B$1:$B$9955,0))*-1</f>
        <v>792.76</v>
      </c>
      <c r="J88" s="382" t="s">
        <v>1304</v>
      </c>
      <c r="K88" s="368" t="str">
        <f>IF(ISNA(HLOOKUP("start",ESLData!C$1:C$9955,MATCH($A88,ESLData!$B$1:$B$9955,0))),"",HLOOKUP("start",ESLData!C$1:C$9955,MATCH($A88,ESLData!$B$1:$B$9955,0)))</f>
        <v>Palmerston North VRC - Income</v>
      </c>
    </row>
    <row r="89" spans="1:11" ht="14.25" customHeight="1" x14ac:dyDescent="0.2">
      <c r="A89" s="364">
        <v>24850</v>
      </c>
      <c r="C89" s="363">
        <f>HLOOKUP("start",ESLData!E$1:E$9955,MATCH($A89,ESLData!$B$1:$B$9955,0))*-1</f>
        <v>1168.3699999999999</v>
      </c>
      <c r="E89" s="363">
        <f>HLOOKUP("start",ESLData!F$1:F$9955,MATCH($A89,ESLData!$B$1:$B$9955,0))*-1</f>
        <v>1800</v>
      </c>
      <c r="G89" s="363">
        <f>HLOOKUP("start",ESLData!H$1:H$9955,MATCH($A89,ESLData!$B$1:$B$9955,0))*-1</f>
        <v>1455.82</v>
      </c>
      <c r="J89" s="382" t="s">
        <v>1304</v>
      </c>
      <c r="K89" s="368" t="str">
        <f>IF(ISNA(HLOOKUP("start",ESLData!C$1:C$9955,MATCH($A89,ESLData!$B$1:$B$9955,0))),"",HLOOKUP("start",ESLData!C$1:C$9955,MATCH($A89,ESLData!$B$1:$B$9955,0)))</f>
        <v>Hamilton VRC - Income</v>
      </c>
    </row>
    <row r="90" spans="1:11" ht="14.25" customHeight="1" x14ac:dyDescent="0.2">
      <c r="A90" s="364">
        <v>24860</v>
      </c>
      <c r="C90" s="363">
        <f>HLOOKUP("start",ESLData!E$1:E$9955,MATCH($A90,ESLData!$B$1:$B$9955,0))*-1</f>
        <v>12469.21</v>
      </c>
      <c r="E90" s="363">
        <f>HLOOKUP("start",ESLData!F$1:F$9955,MATCH($A90,ESLData!$B$1:$B$9955,0))*-1</f>
        <v>14573</v>
      </c>
      <c r="G90" s="363">
        <f>HLOOKUP("start",ESLData!H$1:H$9955,MATCH($A90,ESLData!$B$1:$B$9955,0))*-1</f>
        <v>21233.39</v>
      </c>
      <c r="J90" s="382" t="s">
        <v>1304</v>
      </c>
      <c r="K90" s="368" t="str">
        <f>IF(ISNA(HLOOKUP("start",ESLData!C$1:C$9955,MATCH($A90,ESLData!$B$1:$B$9955,0))),"",HLOOKUP("start",ESLData!C$1:C$9955,MATCH($A90,ESLData!$B$1:$B$9955,0)))</f>
        <v>Tauranga VRC - Income</v>
      </c>
    </row>
    <row r="91" spans="1:11" ht="14.25" customHeight="1" x14ac:dyDescent="0.2">
      <c r="A91" s="364">
        <v>24870</v>
      </c>
      <c r="C91" s="363">
        <f>HLOOKUP("start",ESLData!E$1:E$9955,MATCH($A91,ESLData!$B$1:$B$9955,0))*-1</f>
        <v>4330.8100000000004</v>
      </c>
      <c r="E91" s="363">
        <f>HLOOKUP("start",ESLData!F$1:F$9955,MATCH($A91,ESLData!$B$1:$B$9955,0))*-1</f>
        <v>15388</v>
      </c>
      <c r="G91" s="363">
        <f>HLOOKUP("start",ESLData!H$1:H$9955,MATCH($A91,ESLData!$B$1:$B$9955,0))*-1</f>
        <v>3956.71</v>
      </c>
      <c r="J91" s="382" t="s">
        <v>1304</v>
      </c>
      <c r="K91" s="368" t="str">
        <f>IF(ISNA(HLOOKUP("start",ESLData!C$1:C$9955,MATCH($A91,ESLData!$B$1:$B$9955,0))),"",HLOOKUP("start",ESLData!C$1:C$9955,MATCH($A91,ESLData!$B$1:$B$9955,0)))</f>
        <v>Taranaki VRC - Income</v>
      </c>
    </row>
    <row r="92" spans="1:11" ht="14.25" customHeight="1" x14ac:dyDescent="0.2">
      <c r="A92" s="364">
        <v>24880</v>
      </c>
      <c r="C92" s="363">
        <f>HLOOKUP("start",ESLData!E$1:E$9955,MATCH($A92,ESLData!$B$1:$B$9955,0))*-1</f>
        <v>66.09</v>
      </c>
      <c r="E92" s="363">
        <f>HLOOKUP("start",ESLData!F$1:F$9955,MATCH($A92,ESLData!$B$1:$B$9955,0))*-1</f>
        <v>14573</v>
      </c>
      <c r="G92" s="363">
        <f>HLOOKUP("start",ESLData!H$1:H$9955,MATCH($A92,ESLData!$B$1:$B$9955,0))*-1</f>
        <v>13905.26</v>
      </c>
      <c r="J92" s="382" t="s">
        <v>1304</v>
      </c>
      <c r="K92" s="368" t="str">
        <f>IF(ISNA(HLOOKUP("start",ESLData!C$1:C$9955,MATCH($A92,ESLData!$B$1:$B$9955,0))),"",HLOOKUP("start",ESLData!C$1:C$9955,MATCH($A92,ESLData!$B$1:$B$9955,0)))</f>
        <v>Napier VRC - Income</v>
      </c>
    </row>
    <row r="93" spans="1:11" ht="14.25" customHeight="1" x14ac:dyDescent="0.2">
      <c r="A93" s="364">
        <v>24890</v>
      </c>
      <c r="C93" s="363">
        <f>HLOOKUP("start",ESLData!E$1:E$9955,MATCH($A93,ESLData!$B$1:$B$9955,0))*-1</f>
        <v>0</v>
      </c>
      <c r="E93" s="363">
        <f>HLOOKUP("start",ESLData!F$1:F$9955,MATCH($A93,ESLData!$B$1:$B$9955,0))*-1</f>
        <v>14573</v>
      </c>
      <c r="G93" s="363">
        <f>HLOOKUP("start",ESLData!H$1:H$9955,MATCH($A93,ESLData!$B$1:$B$9955,0))*-1</f>
        <v>12568.7</v>
      </c>
      <c r="J93" s="382" t="s">
        <v>1304</v>
      </c>
      <c r="K93" s="368" t="str">
        <f>IF(ISNA(HLOOKUP("start",ESLData!C$1:C$9955,MATCH($A93,ESLData!$B$1:$B$9955,0))),"",HLOOKUP("start",ESLData!C$1:C$9955,MATCH($A93,ESLData!$B$1:$B$9955,0)))</f>
        <v>Gisborne VRC - Income</v>
      </c>
    </row>
    <row r="94" spans="1:11" ht="14.25" customHeight="1" x14ac:dyDescent="0.2">
      <c r="A94" s="364">
        <v>24900</v>
      </c>
      <c r="C94" s="363">
        <f>HLOOKUP("start",ESLData!E$1:E$9955,MATCH($A94,ESLData!$B$1:$B$9955,0))*-1</f>
        <v>39304.839999999997</v>
      </c>
      <c r="D94" s="400">
        <f>ROUND(SUM(C72:C94),0)</f>
        <v>157129</v>
      </c>
      <c r="E94" s="363">
        <f>HLOOKUP("start",ESLData!F$1:F$9955,MATCH($A94,ESLData!$B$1:$B$9955,0))*-1</f>
        <v>30776</v>
      </c>
      <c r="F94" s="381">
        <f>ROUND(SUM(E72:E94),0)</f>
        <v>174283</v>
      </c>
      <c r="G94" s="363">
        <f>HLOOKUP("start",ESLData!H$1:H$9955,MATCH($A94,ESLData!$B$1:$B$9955,0))*-1</f>
        <v>33616.21</v>
      </c>
      <c r="H94" s="400">
        <f>ROUND(SUM(G72:G94),0)</f>
        <v>176411</v>
      </c>
      <c r="J94" s="382" t="s">
        <v>1304</v>
      </c>
      <c r="K94" s="368" t="str">
        <f>IF(ISNA(HLOOKUP("start",ESLData!C$1:C$9955,MATCH($A94,ESLData!$B$1:$B$9955,0))),"",HLOOKUP("start",ESLData!C$1:C$9955,MATCH($A94,ESLData!$B$1:$B$9955,0)))</f>
        <v>Wellington VRC - Income</v>
      </c>
    </row>
    <row r="95" spans="1:11" ht="14.25" customHeight="1" x14ac:dyDescent="0.2">
      <c r="A95" s="367" t="s">
        <v>599</v>
      </c>
      <c r="C95" s="363"/>
      <c r="E95" s="363"/>
      <c r="G95" s="363"/>
      <c r="J95" s="382" t="s">
        <v>1304</v>
      </c>
      <c r="K95" s="368" t="str">
        <f>IF(ISNA(HLOOKUP("start",ESLData!C$1:C$9955,MATCH($A95,ESLData!$B$1:$B$9955,0))),"",HLOOKUP("start",ESLData!C$1:C$9955,MATCH($A95,ESLData!$B$1:$B$9955,0)))</f>
        <v/>
      </c>
    </row>
    <row r="96" spans="1:11" ht="14.25" customHeight="1" x14ac:dyDescent="0.2">
      <c r="A96" s="364">
        <v>21900</v>
      </c>
      <c r="C96" s="363">
        <f>HLOOKUP("start",ESLData!E$1:E$9955,MATCH($A96,ESLData!$B$1:$B$9955,0))</f>
        <v>0</v>
      </c>
      <c r="E96" s="363">
        <f>HLOOKUP("start",ESLData!F$1:F$9955,MATCH($A96,ESLData!$B$1:$B$9955,0))</f>
        <v>0</v>
      </c>
      <c r="G96" s="363">
        <f>HLOOKUP("start",ESLData!H$1:H$9955,MATCH($A96,ESLData!$B$1:$B$9955,0))</f>
        <v>0</v>
      </c>
      <c r="J96" s="382" t="s">
        <v>1304</v>
      </c>
      <c r="K96" s="368" t="str">
        <f>IF(ISNA(HLOOKUP("start",ESLData!C$1:C$9955,MATCH($A96,ESLData!$B$1:$B$9955,0))),"",HLOOKUP("start",ESLData!C$1:C$9955,MATCH($A96,ESLData!$B$1:$B$9955,0)))</f>
        <v>Kickstart Expenditure</v>
      </c>
    </row>
    <row r="97" spans="1:11" ht="14.25" customHeight="1" x14ac:dyDescent="0.2">
      <c r="A97" s="364">
        <v>22100</v>
      </c>
      <c r="C97" s="363">
        <f>HLOOKUP("start",ESLData!E$1:E$9955,MATCH($A97,ESLData!$B$1:$B$9955,0))</f>
        <v>694.35</v>
      </c>
      <c r="E97" s="363">
        <f>HLOOKUP("start",ESLData!F$1:F$9955,MATCH($A97,ESLData!$B$1:$B$9955,0))</f>
        <v>8000</v>
      </c>
      <c r="G97" s="363">
        <f>HLOOKUP("start",ESLData!H$1:H$9955,MATCH($A97,ESLData!$B$1:$B$9955,0))</f>
        <v>820</v>
      </c>
      <c r="J97" s="382" t="s">
        <v>1304</v>
      </c>
      <c r="K97" s="368" t="str">
        <f>IF(ISNA(HLOOKUP("start",ESLData!C$1:C$9955,MATCH($A97,ESLData!$B$1:$B$9955,0))),"",HLOOKUP("start",ESLData!C$1:C$9955,MATCH($A97,ESLData!$B$1:$B$9955,0)))</f>
        <v>Hostel Expense</v>
      </c>
    </row>
    <row r="98" spans="1:11" ht="14.25" customHeight="1" x14ac:dyDescent="0.2">
      <c r="A98" s="364">
        <v>22300</v>
      </c>
      <c r="C98" s="363">
        <f>HLOOKUP("start",ESLData!E$1:E$9955,MATCH($A98,ESLData!$B$1:$B$9955,0))</f>
        <v>3147.82</v>
      </c>
      <c r="E98" s="363">
        <f>HLOOKUP("start",ESLData!F$1:F$9955,MATCH($A98,ESLData!$B$1:$B$9955,0))</f>
        <v>0</v>
      </c>
      <c r="G98" s="363">
        <f>HLOOKUP("start",ESLData!H$1:H$9955,MATCH($A98,ESLData!$B$1:$B$9955,0))</f>
        <v>3272.52</v>
      </c>
      <c r="J98" s="382" t="s">
        <v>1304</v>
      </c>
      <c r="K98" s="368" t="str">
        <f>IF(ISNA(HLOOKUP("start",ESLData!C$1:C$9955,MATCH($A98,ESLData!$B$1:$B$9955,0))),"",HLOOKUP("start",ESLData!C$1:C$9955,MATCH($A98,ESLData!$B$1:$B$9955,0)))</f>
        <v>Itinerant Inservice Expense</v>
      </c>
    </row>
    <row r="99" spans="1:11" ht="14.25" customHeight="1" x14ac:dyDescent="0.2">
      <c r="A99" s="364">
        <v>22500</v>
      </c>
      <c r="C99" s="363">
        <f>HLOOKUP("start",ESLData!E$1:E$9955,MATCH($A99,ESLData!$B$1:$B$9955,0))</f>
        <v>0</v>
      </c>
      <c r="E99" s="363">
        <f>HLOOKUP("start",ESLData!F$1:F$9955,MATCH($A99,ESLData!$B$1:$B$9955,0))</f>
        <v>0</v>
      </c>
      <c r="G99" s="363">
        <f>HLOOKUP("start",ESLData!H$1:H$9955,MATCH($A99,ESLData!$B$1:$B$9955,0))</f>
        <v>0</v>
      </c>
      <c r="J99" s="382" t="s">
        <v>1304</v>
      </c>
      <c r="K99" s="368" t="str">
        <f>IF(ISNA(HLOOKUP("start",ESLData!C$1:C$9955,MATCH($A99,ESLData!$B$1:$B$9955,0))),"",HLOOKUP("start",ESLData!C$1:C$9955,MATCH($A99,ESLData!$B$1:$B$9955,0)))</f>
        <v>Braille Training Exp</v>
      </c>
    </row>
    <row r="100" spans="1:11" ht="14.25" customHeight="1" x14ac:dyDescent="0.2">
      <c r="A100" s="364">
        <v>23300</v>
      </c>
      <c r="C100" s="363">
        <f>HLOOKUP("start",ESLData!E$1:E$9955,MATCH($A100,ESLData!$B$1:$B$9955,0))</f>
        <v>1862.28</v>
      </c>
      <c r="E100" s="363">
        <f>HLOOKUP("start",ESLData!F$1:F$9955,MATCH($A100,ESLData!$B$1:$B$9955,0))</f>
        <v>0</v>
      </c>
      <c r="G100" s="363">
        <f>HLOOKUP("start",ESLData!H$1:H$9955,MATCH($A100,ESLData!$B$1:$B$9955,0))</f>
        <v>3801.34</v>
      </c>
      <c r="J100" s="382" t="s">
        <v>1304</v>
      </c>
      <c r="K100" s="368" t="str">
        <f>IF(ISNA(HLOOKUP("start",ESLData!C$1:C$9955,MATCH($A100,ESLData!$B$1:$B$9955,0))),"",HLOOKUP("start",ESLData!C$1:C$9955,MATCH($A100,ESLData!$B$1:$B$9955,0)))</f>
        <v>Hire School Facilities Expd</v>
      </c>
    </row>
    <row r="101" spans="1:11" ht="14.25" customHeight="1" x14ac:dyDescent="0.2">
      <c r="A101" s="364">
        <v>23500</v>
      </c>
      <c r="C101" s="363">
        <f>HLOOKUP("start",ESLData!E$1:E$9955,MATCH($A101,ESLData!$B$1:$B$9955,0))</f>
        <v>4754.0200000000004</v>
      </c>
      <c r="E101" s="363">
        <f>HLOOKUP("start",ESLData!F$1:F$9955,MATCH($A101,ESLData!$B$1:$B$9955,0))</f>
        <v>0</v>
      </c>
      <c r="G101" s="363">
        <f>HLOOKUP("start",ESLData!H$1:H$9955,MATCH($A101,ESLData!$B$1:$B$9955,0))</f>
        <v>0</v>
      </c>
      <c r="J101" s="382" t="s">
        <v>1304</v>
      </c>
      <c r="K101" s="368" t="str">
        <f>IF(ISNA(HLOOKUP("start",ESLData!C$1:C$9955,MATCH($A101,ESLData!$B$1:$B$9955,0))),"",HLOOKUP("start",ESLData!C$1:C$9955,MATCH($A101,ESLData!$B$1:$B$9955,0)))</f>
        <v>Homai Campus Expenses</v>
      </c>
    </row>
    <row r="102" spans="1:11" ht="14.25" customHeight="1" x14ac:dyDescent="0.2">
      <c r="A102" s="364">
        <v>23700</v>
      </c>
      <c r="C102" s="363">
        <f>HLOOKUP("start",ESLData!E$1:E$9955,MATCH($A102,ESLData!$B$1:$B$9955,0))</f>
        <v>0</v>
      </c>
      <c r="E102" s="363">
        <f>HLOOKUP("start",ESLData!F$1:F$9955,MATCH($A102,ESLData!$B$1:$B$9955,0))</f>
        <v>0</v>
      </c>
      <c r="G102" s="363">
        <f>HLOOKUP("start",ESLData!H$1:H$9955,MATCH($A102,ESLData!$B$1:$B$9955,0))</f>
        <v>0</v>
      </c>
      <c r="J102" s="382" t="s">
        <v>1304</v>
      </c>
      <c r="K102" s="368" t="str">
        <f>IF(ISNA(HLOOKUP("start",ESLData!C$1:C$9955,MATCH($A102,ESLData!$B$1:$B$9955,0))),"",HLOOKUP("start",ESLData!C$1:C$9955,MATCH($A102,ESLData!$B$1:$B$9955,0)))</f>
        <v>Rental Expenditure</v>
      </c>
    </row>
    <row r="103" spans="1:11" ht="14.25" customHeight="1" x14ac:dyDescent="0.2">
      <c r="A103" s="364">
        <v>24100</v>
      </c>
      <c r="C103" s="363">
        <f>HLOOKUP("start",ESLData!E$1:E$9955,MATCH($A103,ESLData!$B$1:$B$9955,0))</f>
        <v>0</v>
      </c>
      <c r="E103" s="363">
        <f>HLOOKUP("start",ESLData!F$1:F$9955,MATCH($A103,ESLData!$B$1:$B$9955,0))</f>
        <v>0</v>
      </c>
      <c r="G103" s="363">
        <f>HLOOKUP("start",ESLData!H$1:H$9955,MATCH($A103,ESLData!$B$1:$B$9955,0))</f>
        <v>0</v>
      </c>
      <c r="J103" s="382" t="s">
        <v>1304</v>
      </c>
      <c r="K103" s="368" t="str">
        <f>IF(ISNA(HLOOKUP("start",ESLData!C$1:C$9955,MATCH($A103,ESLData!$B$1:$B$9955,0))),"",HLOOKUP("start",ESLData!C$1:C$9955,MATCH($A103,ESLData!$B$1:$B$9955,0)))</f>
        <v>Hostels Trading Expenditure</v>
      </c>
    </row>
    <row r="104" spans="1:11" ht="14.25" customHeight="1" x14ac:dyDescent="0.2">
      <c r="A104" s="364">
        <v>24300</v>
      </c>
      <c r="C104" s="363">
        <f>HLOOKUP("start",ESLData!E$1:E$9955,MATCH($A104,ESLData!$B$1:$B$9955,0))</f>
        <v>1225.5</v>
      </c>
      <c r="E104" s="363">
        <f>HLOOKUP("start",ESLData!F$1:F$9955,MATCH($A104,ESLData!$B$1:$B$9955,0))</f>
        <v>1000</v>
      </c>
      <c r="G104" s="363">
        <f>HLOOKUP("start",ESLData!H$1:H$9955,MATCH($A104,ESLData!$B$1:$B$9955,0))</f>
        <v>2162.73</v>
      </c>
      <c r="J104" s="382" t="s">
        <v>1304</v>
      </c>
      <c r="K104" s="368" t="str">
        <f>IF(ISNA(HLOOKUP("start",ESLData!C$1:C$9955,MATCH($A104,ESLData!$B$1:$B$9955,0))),"",HLOOKUP("start",ESLData!C$1:C$9955,MATCH($A104,ESLData!$B$1:$B$9955,0)))</f>
        <v>Vision Clinic Trading Expd</v>
      </c>
    </row>
    <row r="105" spans="1:11" ht="14.25" customHeight="1" x14ac:dyDescent="0.2">
      <c r="A105" s="364">
        <v>24500</v>
      </c>
      <c r="C105" s="363">
        <f>HLOOKUP("start",ESLData!E$1:E$9955,MATCH($A105,ESLData!$B$1:$B$9955,0))</f>
        <v>21121.19</v>
      </c>
      <c r="E105" s="363">
        <f>HLOOKUP("start",ESLData!F$1:F$9955,MATCH($A105,ESLData!$B$1:$B$9955,0))</f>
        <v>44000</v>
      </c>
      <c r="G105" s="363">
        <f>HLOOKUP("start",ESLData!H$1:H$9955,MATCH($A105,ESLData!$B$1:$B$9955,0))</f>
        <v>1397.65</v>
      </c>
      <c r="J105" s="382" t="s">
        <v>1304</v>
      </c>
      <c r="K105" s="368" t="str">
        <f>IF(ISNA(HLOOKUP("start",ESLData!C$1:C$9955,MATCH($A105,ESLData!$B$1:$B$9955,0))),"",HLOOKUP("start",ESLData!C$1:C$9955,MATCH($A105,ESLData!$B$1:$B$9955,0)))</f>
        <v>Auckland South VRC Expenses</v>
      </c>
    </row>
    <row r="106" spans="1:11" ht="14.25" customHeight="1" x14ac:dyDescent="0.2">
      <c r="A106" s="364">
        <v>24650</v>
      </c>
      <c r="C106" s="363">
        <f>HLOOKUP("start",ESLData!E$1:E$9955,MATCH($A106,ESLData!$B$1:$B$9955,0))</f>
        <v>1179.51</v>
      </c>
      <c r="E106" s="363">
        <f>HLOOKUP("start",ESLData!F$1:F$9955,MATCH($A106,ESLData!$B$1:$B$9955,0))</f>
        <v>200</v>
      </c>
      <c r="G106" s="363">
        <f>HLOOKUP("start",ESLData!H$1:H$9955,MATCH($A106,ESLData!$B$1:$B$9955,0))</f>
        <v>2718.63</v>
      </c>
      <c r="J106" s="382" t="s">
        <v>1304</v>
      </c>
      <c r="K106" s="368" t="str">
        <f>IF(ISNA(HLOOKUP("start",ESLData!C$1:C$9955,MATCH($A106,ESLData!$B$1:$B$9955,0))),"",HLOOKUP("start",ESLData!C$1:C$9955,MATCH($A106,ESLData!$B$1:$B$9955,0)))</f>
        <v>Northland VRC Expenses</v>
      </c>
    </row>
    <row r="107" spans="1:11" ht="14.25" customHeight="1" x14ac:dyDescent="0.2">
      <c r="A107" s="364">
        <v>24750</v>
      </c>
      <c r="C107" s="363">
        <f>HLOOKUP("start",ESLData!E$1:E$9955,MATCH($A107,ESLData!$B$1:$B$9955,0))</f>
        <v>-17.39</v>
      </c>
      <c r="E107" s="363">
        <f>HLOOKUP("start",ESLData!F$1:F$9955,MATCH($A107,ESLData!$B$1:$B$9955,0))</f>
        <v>200</v>
      </c>
      <c r="G107" s="363">
        <f>HLOOKUP("start",ESLData!H$1:H$9955,MATCH($A107,ESLData!$B$1:$B$9955,0))</f>
        <v>128.6</v>
      </c>
      <c r="J107" s="382" t="s">
        <v>1304</v>
      </c>
      <c r="K107" s="368" t="str">
        <f>IF(ISNA(HLOOKUP("start",ESLData!C$1:C$9955,MATCH($A107,ESLData!$B$1:$B$9955,0))),"",HLOOKUP("start",ESLData!C$1:C$9955,MATCH($A107,ESLData!$B$1:$B$9955,0)))</f>
        <v>Auckland North VRC Expenses</v>
      </c>
    </row>
    <row r="108" spans="1:11" ht="14.25" customHeight="1" x14ac:dyDescent="0.2">
      <c r="A108" s="364">
        <v>24801</v>
      </c>
      <c r="C108" s="363">
        <f>HLOOKUP("start",ESLData!E$1:E$9955,MATCH($A108,ESLData!$B$1:$B$9955,0))</f>
        <v>0</v>
      </c>
      <c r="E108" s="363">
        <f>HLOOKUP("start",ESLData!F$1:F$9955,MATCH($A108,ESLData!$B$1:$B$9955,0))</f>
        <v>0</v>
      </c>
      <c r="G108" s="363">
        <f>HLOOKUP("start",ESLData!H$1:H$9955,MATCH($A108,ESLData!$B$1:$B$9955,0))</f>
        <v>0</v>
      </c>
      <c r="J108" s="382" t="s">
        <v>1304</v>
      </c>
      <c r="K108" s="368" t="str">
        <f>IF(ISNA(HLOOKUP("start",ESLData!C$1:C$9955,MATCH($A108,ESLData!$B$1:$B$9955,0))),"",HLOOKUP("start",ESLData!C$1:C$9955,MATCH($A108,ESLData!$B$1:$B$9955,0)))</f>
        <v>Nelson VRC Expenses</v>
      </c>
    </row>
    <row r="109" spans="1:11" ht="14.25" customHeight="1" x14ac:dyDescent="0.2">
      <c r="A109" s="364">
        <v>24803</v>
      </c>
      <c r="C109" s="363">
        <f>HLOOKUP("start",ESLData!E$1:E$9955,MATCH($A109,ESLData!$B$1:$B$9955,0))</f>
        <v>436.53</v>
      </c>
      <c r="E109" s="363">
        <f>HLOOKUP("start",ESLData!F$1:F$9955,MATCH($A109,ESLData!$B$1:$B$9955,0))</f>
        <v>1500</v>
      </c>
      <c r="G109" s="363">
        <f>HLOOKUP("start",ESLData!H$1:H$9955,MATCH($A109,ESLData!$B$1:$B$9955,0))</f>
        <v>35.799999999999997</v>
      </c>
      <c r="J109" s="382" t="s">
        <v>1304</v>
      </c>
      <c r="K109" s="368" t="str">
        <f>IF(ISNA(HLOOKUP("start",ESLData!C$1:C$9955,MATCH($A109,ESLData!$B$1:$B$9955,0))),"",HLOOKUP("start",ESLData!C$1:C$9955,MATCH($A109,ESLData!$B$1:$B$9955,0)))</f>
        <v>Otago VRC - Expenses</v>
      </c>
    </row>
    <row r="110" spans="1:11" ht="14.25" customHeight="1" x14ac:dyDescent="0.2">
      <c r="A110" s="364">
        <v>24821</v>
      </c>
      <c r="C110" s="363">
        <f>HLOOKUP("start",ESLData!E$1:E$9955,MATCH($A110,ESLData!$B$1:$B$9955,0))</f>
        <v>0</v>
      </c>
      <c r="E110" s="363">
        <f>HLOOKUP("start",ESLData!F$1:F$9955,MATCH($A110,ESLData!$B$1:$B$9955,0))</f>
        <v>1000</v>
      </c>
      <c r="G110" s="363">
        <f>HLOOKUP("start",ESLData!H$1:H$9955,MATCH($A110,ESLData!$B$1:$B$9955,0))</f>
        <v>228.07</v>
      </c>
      <c r="J110" s="382" t="s">
        <v>1304</v>
      </c>
      <c r="K110" s="368" t="str">
        <f>IF(ISNA(HLOOKUP("start",ESLData!C$1:C$9955,MATCH($A110,ESLData!$B$1:$B$9955,0))),"",HLOOKUP("start",ESLData!C$1:C$9955,MATCH($A110,ESLData!$B$1:$B$9955,0)))</f>
        <v>Southland VRC - Expenses</v>
      </c>
    </row>
    <row r="111" spans="1:11" ht="14.25" customHeight="1" x14ac:dyDescent="0.2">
      <c r="A111" s="364">
        <v>24831</v>
      </c>
      <c r="C111" s="363">
        <f>HLOOKUP("start",ESLData!E$1:E$9955,MATCH($A111,ESLData!$B$1:$B$9955,0))</f>
        <v>9944.7800000000007</v>
      </c>
      <c r="E111" s="363">
        <f>HLOOKUP("start",ESLData!F$1:F$9955,MATCH($A111,ESLData!$B$1:$B$9955,0))</f>
        <v>21100</v>
      </c>
      <c r="G111" s="363">
        <f>HLOOKUP("start",ESLData!H$1:H$9955,MATCH($A111,ESLData!$B$1:$B$9955,0))</f>
        <v>15187.3</v>
      </c>
      <c r="J111" s="382" t="s">
        <v>1304</v>
      </c>
      <c r="K111" s="368" t="str">
        <f>IF(ISNA(HLOOKUP("start",ESLData!C$1:C$9955,MATCH($A111,ESLData!$B$1:$B$9955,0))),"",HLOOKUP("start",ESLData!C$1:C$9955,MATCH($A111,ESLData!$B$1:$B$9955,0)))</f>
        <v>Christchurch VRC - Expenses</v>
      </c>
    </row>
    <row r="112" spans="1:11" ht="14.25" customHeight="1" x14ac:dyDescent="0.2">
      <c r="A112" s="364">
        <v>24841</v>
      </c>
      <c r="C112" s="363">
        <f>HLOOKUP("start",ESLData!E$1:E$9955,MATCH($A112,ESLData!$B$1:$B$9955,0))</f>
        <v>82.59</v>
      </c>
      <c r="E112" s="363">
        <f>HLOOKUP("start",ESLData!F$1:F$9955,MATCH($A112,ESLData!$B$1:$B$9955,0))</f>
        <v>750</v>
      </c>
      <c r="G112" s="363">
        <f>HLOOKUP("start",ESLData!H$1:H$9955,MATCH($A112,ESLData!$B$1:$B$9955,0))</f>
        <v>272.58999999999997</v>
      </c>
      <c r="J112" s="382" t="s">
        <v>1304</v>
      </c>
      <c r="K112" s="368" t="str">
        <f>IF(ISNA(HLOOKUP("start",ESLData!C$1:C$9955,MATCH($A112,ESLData!$B$1:$B$9955,0))),"",HLOOKUP("start",ESLData!C$1:C$9955,MATCH($A112,ESLData!$B$1:$B$9955,0)))</f>
        <v>Palmerston North VRC - Expense</v>
      </c>
    </row>
    <row r="113" spans="1:12" ht="14.25" customHeight="1" x14ac:dyDescent="0.2">
      <c r="A113" s="364">
        <v>24851</v>
      </c>
      <c r="C113" s="363">
        <f>HLOOKUP("start",ESLData!E$1:E$9955,MATCH($A113,ESLData!$B$1:$B$9955,0))</f>
        <v>487.54</v>
      </c>
      <c r="E113" s="363">
        <f>HLOOKUP("start",ESLData!F$1:F$9955,MATCH($A113,ESLData!$B$1:$B$9955,0))</f>
        <v>1800</v>
      </c>
      <c r="G113" s="363">
        <f>HLOOKUP("start",ESLData!H$1:H$9955,MATCH($A113,ESLData!$B$1:$B$9955,0))</f>
        <v>1132.55</v>
      </c>
      <c r="J113" s="382" t="s">
        <v>1304</v>
      </c>
      <c r="K113" s="368" t="str">
        <f>IF(ISNA(HLOOKUP("start",ESLData!C$1:C$9955,MATCH($A113,ESLData!$B$1:$B$9955,0))),"",HLOOKUP("start",ESLData!C$1:C$9955,MATCH($A113,ESLData!$B$1:$B$9955,0)))</f>
        <v>Hamilton VRC - Expenses</v>
      </c>
    </row>
    <row r="114" spans="1:12" ht="14.25" customHeight="1" x14ac:dyDescent="0.2">
      <c r="A114" s="364">
        <v>24861</v>
      </c>
      <c r="C114" s="363">
        <f>HLOOKUP("start",ESLData!E$1:E$9955,MATCH($A114,ESLData!$B$1:$B$9955,0))</f>
        <v>11986.38</v>
      </c>
      <c r="E114" s="363">
        <f>HLOOKUP("start",ESLData!F$1:F$9955,MATCH($A114,ESLData!$B$1:$B$9955,0))</f>
        <v>14573</v>
      </c>
      <c r="G114" s="363">
        <f>HLOOKUP("start",ESLData!H$1:H$9955,MATCH($A114,ESLData!$B$1:$B$9955,0))</f>
        <v>14821.66</v>
      </c>
      <c r="J114" s="382" t="s">
        <v>1304</v>
      </c>
      <c r="K114" s="368" t="str">
        <f>IF(ISNA(HLOOKUP("start",ESLData!C$1:C$9955,MATCH($A114,ESLData!$B$1:$B$9955,0))),"",HLOOKUP("start",ESLData!C$1:C$9955,MATCH($A114,ESLData!$B$1:$B$9955,0)))</f>
        <v>Tauranga VRC - Expenses</v>
      </c>
    </row>
    <row r="115" spans="1:12" ht="14.25" customHeight="1" x14ac:dyDescent="0.2">
      <c r="A115" s="364">
        <v>24871</v>
      </c>
      <c r="C115" s="363">
        <f>HLOOKUP("start",ESLData!E$1:E$9955,MATCH($A115,ESLData!$B$1:$B$9955,0))</f>
        <v>15650.46</v>
      </c>
      <c r="E115" s="363">
        <f>HLOOKUP("start",ESLData!F$1:F$9955,MATCH($A115,ESLData!$B$1:$B$9955,0))</f>
        <v>15388</v>
      </c>
      <c r="G115" s="363">
        <f>HLOOKUP("start",ESLData!H$1:H$9955,MATCH($A115,ESLData!$B$1:$B$9955,0))</f>
        <v>855.21</v>
      </c>
      <c r="J115" s="382" t="s">
        <v>1304</v>
      </c>
      <c r="K115" s="368" t="str">
        <f>IF(ISNA(HLOOKUP("start",ESLData!C$1:C$9955,MATCH($A115,ESLData!$B$1:$B$9955,0))),"",HLOOKUP("start",ESLData!C$1:C$9955,MATCH($A115,ESLData!$B$1:$B$9955,0)))</f>
        <v>Taranaki VRC - Expenses</v>
      </c>
    </row>
    <row r="116" spans="1:12" ht="14.25" customHeight="1" x14ac:dyDescent="0.2">
      <c r="A116" s="364">
        <v>24881</v>
      </c>
      <c r="C116" s="363">
        <f>HLOOKUP("start",ESLData!E$1:E$9955,MATCH($A116,ESLData!$B$1:$B$9955,0))</f>
        <v>3757.9</v>
      </c>
      <c r="E116" s="363">
        <f>HLOOKUP("start",ESLData!F$1:F$9955,MATCH($A116,ESLData!$B$1:$B$9955,0))</f>
        <v>14573</v>
      </c>
      <c r="G116" s="363">
        <f>HLOOKUP("start",ESLData!H$1:H$9955,MATCH($A116,ESLData!$B$1:$B$9955,0))</f>
        <v>13248.84</v>
      </c>
      <c r="J116" s="382" t="s">
        <v>1304</v>
      </c>
      <c r="K116" s="368" t="str">
        <f>IF(ISNA(HLOOKUP("start",ESLData!C$1:C$9955,MATCH($A116,ESLData!$B$1:$B$9955,0))),"",HLOOKUP("start",ESLData!C$1:C$9955,MATCH($A116,ESLData!$B$1:$B$9955,0)))</f>
        <v>Napier VRC - Expenses</v>
      </c>
    </row>
    <row r="117" spans="1:12" ht="14.25" customHeight="1" x14ac:dyDescent="0.2">
      <c r="A117" s="364">
        <v>24891</v>
      </c>
      <c r="C117" s="363">
        <f>HLOOKUP("start",ESLData!E$1:E$9955,MATCH($A117,ESLData!$B$1:$B$9955,0))</f>
        <v>5496.02</v>
      </c>
      <c r="E117" s="363">
        <f>HLOOKUP("start",ESLData!F$1:F$9955,MATCH($A117,ESLData!$B$1:$B$9955,0))</f>
        <v>14573</v>
      </c>
      <c r="G117" s="363">
        <f>HLOOKUP("start",ESLData!H$1:H$9955,MATCH($A117,ESLData!$B$1:$B$9955,0))</f>
        <v>14522.72</v>
      </c>
      <c r="J117" s="382" t="s">
        <v>1304</v>
      </c>
      <c r="K117" s="368" t="str">
        <f>IF(ISNA(HLOOKUP("start",ESLData!C$1:C$9955,MATCH($A117,ESLData!$B$1:$B$9955,0))),"",HLOOKUP("start",ESLData!C$1:C$9955,MATCH($A117,ESLData!$B$1:$B$9955,0)))</f>
        <v>Gisborne VRC - Expenses</v>
      </c>
    </row>
    <row r="118" spans="1:12" ht="14.25" customHeight="1" x14ac:dyDescent="0.2">
      <c r="A118" s="364">
        <v>24901</v>
      </c>
      <c r="C118" s="363">
        <f>HLOOKUP("start",ESLData!E$1:E$9955,MATCH($A118,ESLData!$B$1:$B$9955,0))</f>
        <v>23232.36</v>
      </c>
      <c r="D118" s="400">
        <f>ROUND(SUM(C96:C118),0)</f>
        <v>105042</v>
      </c>
      <c r="E118" s="363">
        <f>HLOOKUP("start",ESLData!F$1:F$9955,MATCH($A118,ESLData!$B$1:$B$9955,0))</f>
        <v>30776</v>
      </c>
      <c r="F118" s="381">
        <f>ROUND(SUM(E96:E118),0)</f>
        <v>169433</v>
      </c>
      <c r="G118" s="363">
        <f>HLOOKUP("start",ESLData!H$1:H$9955,MATCH($A118,ESLData!$B$1:$B$9955,0))</f>
        <v>25545.62</v>
      </c>
      <c r="H118" s="400">
        <f>ROUND(SUM(G96:G118),0)</f>
        <v>100152</v>
      </c>
      <c r="J118" s="382" t="s">
        <v>1304</v>
      </c>
      <c r="K118" s="368" t="str">
        <f>IF(ISNA(HLOOKUP("start",ESLData!C$1:C$9955,MATCH($A118,ESLData!$B$1:$B$9955,0))),"",HLOOKUP("start",ESLData!C$1:C$9955,MATCH($A118,ESLData!$B$1:$B$9955,0)))</f>
        <v>Wellington VRC - Expenses</v>
      </c>
    </row>
    <row r="119" spans="1:12" ht="14.25" customHeight="1" x14ac:dyDescent="0.2">
      <c r="A119" s="367" t="s">
        <v>802</v>
      </c>
      <c r="C119" s="363"/>
      <c r="E119" s="363"/>
      <c r="G119" s="363"/>
      <c r="J119" s="382" t="s">
        <v>1304</v>
      </c>
      <c r="K119" s="368" t="str">
        <f>IF(ISNA(HLOOKUP("start",ESLData!C$1:C$9955,MATCH($A119,ESLData!$B$1:$B$9955,0))),"",HLOOKUP("start",ESLData!C$1:C$9955,MATCH($A119,ESLData!$B$1:$B$9955,0)))</f>
        <v/>
      </c>
    </row>
    <row r="120" spans="1:12" ht="14.25" customHeight="1" x14ac:dyDescent="0.2">
      <c r="A120" s="364">
        <v>10530</v>
      </c>
      <c r="C120" s="363">
        <f>HLOOKUP("start",ESLData!E$1:E$9955,MATCH($A120,ESLData!$B$1:$B$9955,0))*-1</f>
        <v>303683.08</v>
      </c>
      <c r="D120" s="401">
        <f>ROUND(SUM(C120),0)</f>
        <v>303683</v>
      </c>
      <c r="E120" s="363">
        <f>HLOOKUP("start",ESLData!F$1:F$9955,MATCH($A120,ESLData!$B$1:$B$9955,0))*-1</f>
        <v>140000</v>
      </c>
      <c r="F120" s="369">
        <f>ROUND(SUM(E120),0)</f>
        <v>140000</v>
      </c>
      <c r="G120" s="363">
        <f>HLOOKUP("start",ESLData!H$1:H$9955,MATCH($A120,ESLData!$B$1:$B$9955,0))*-1</f>
        <v>276158.87</v>
      </c>
      <c r="H120" s="406">
        <f>ROUND(SUM(G120),0)</f>
        <v>276159</v>
      </c>
      <c r="J120" s="382" t="s">
        <v>1304</v>
      </c>
      <c r="K120" s="368" t="str">
        <f>IF(ISNA(HLOOKUP("start",ESLData!C$1:C$9955,MATCH($A120,ESLData!$B$1:$B$9955,0))),"",HLOOKUP("start",ESLData!C$1:C$9955,MATCH($A120,ESLData!$B$1:$B$9955,0)))</f>
        <v>Interest Received</v>
      </c>
    </row>
    <row r="121" spans="1:12" ht="14.25" customHeight="1" x14ac:dyDescent="0.2">
      <c r="C121" s="363"/>
      <c r="E121" s="363"/>
      <c r="G121" s="363"/>
      <c r="K121" s="368" t="str">
        <f>IF(ISNA(HLOOKUP("start",ESLData!C$1:C$9955,MATCH($A121,ESLData!$B$1:$B$9955,0))),"",HLOOKUP("start",ESLData!C$1:C$9955,MATCH($A121,ESLData!$B$1:$B$9955,0)))</f>
        <v/>
      </c>
    </row>
    <row r="122" spans="1:12" s="379" customFormat="1" ht="14.25" customHeight="1" x14ac:dyDescent="0.2">
      <c r="A122" s="376" t="s">
        <v>1284</v>
      </c>
      <c r="B122" s="368"/>
      <c r="C122" s="363"/>
      <c r="D122" s="368"/>
      <c r="E122" s="363"/>
      <c r="F122" s="368"/>
      <c r="G122" s="363"/>
      <c r="H122" s="368"/>
      <c r="K122" s="368" t="str">
        <f>IF(ISNA(HLOOKUP("start",ESLData!C$1:C$9955,MATCH($A122,ESLData!$B$1:$B$9955,0))),"",HLOOKUP("start",ESLData!C$1:C$9955,MATCH($A122,ESLData!$B$1:$B$9955,0)))</f>
        <v/>
      </c>
    </row>
    <row r="123" spans="1:12" s="368" customFormat="1" ht="14.25" customHeight="1" x14ac:dyDescent="0.2">
      <c r="A123" s="367" t="s">
        <v>812</v>
      </c>
      <c r="C123" s="363"/>
      <c r="E123" s="363"/>
      <c r="G123" s="363"/>
      <c r="K123" s="368" t="str">
        <f>IF(ISNA(HLOOKUP("start",ESLData!C$1:C$9955,MATCH($A123,ESLData!$B$1:$B$9955,0))),"",HLOOKUP("start",ESLData!C$1:C$9955,MATCH($A123,ESLData!$B$1:$B$9955,0)))</f>
        <v/>
      </c>
    </row>
    <row r="124" spans="1:12" s="368" customFormat="1" ht="14.25" customHeight="1" x14ac:dyDescent="0.2">
      <c r="A124" s="364">
        <v>30521</v>
      </c>
      <c r="C124" s="363">
        <f>HLOOKUP("start",ESLData!E$1:E$9955,MATCH($A124,ESLData!$B$1:$B$9955,0))</f>
        <v>5231.08</v>
      </c>
      <c r="E124" s="363">
        <f>HLOOKUP("start",ESLData!F$1:F$9955,MATCH($A124,ESLData!$B$1:$B$9955,0))</f>
        <v>7000</v>
      </c>
      <c r="G124" s="363">
        <f>HLOOKUP("start",ESLData!H$1:H$9955,MATCH($A124,ESLData!$B$1:$B$9955,0))</f>
        <v>7285.02</v>
      </c>
      <c r="J124" s="382" t="s">
        <v>1304</v>
      </c>
      <c r="K124" s="368" t="str">
        <f>IF(ISNA(HLOOKUP("start",ESLData!C$1:C$9955,MATCH($A124,ESLData!$B$1:$B$9955,0))),"",HLOOKUP("start",ESLData!C$1:C$9955,MATCH($A124,ESLData!$B$1:$B$9955,0)))</f>
        <v>Nz Curriculum</v>
      </c>
    </row>
    <row r="125" spans="1:12" s="368" customFormat="1" ht="14.25" customHeight="1" x14ac:dyDescent="0.2">
      <c r="A125" s="364">
        <v>31010</v>
      </c>
      <c r="C125" s="363">
        <f>HLOOKUP("start",ESLData!E$1:E$9955,MATCH($A125,ESLData!$B$1:$B$9955,0))</f>
        <v>521.74</v>
      </c>
      <c r="E125" s="363">
        <f>HLOOKUP("start",ESLData!F$1:F$9955,MATCH($A125,ESLData!$B$1:$B$9955,0))</f>
        <v>3000</v>
      </c>
      <c r="G125" s="363">
        <f>HLOOKUP("start",ESLData!H$1:H$9955,MATCH($A125,ESLData!$B$1:$B$9955,0))</f>
        <v>782.61</v>
      </c>
      <c r="J125" s="382" t="s">
        <v>1304</v>
      </c>
      <c r="K125" s="368" t="str">
        <f>IF(ISNA(HLOOKUP("start",ESLData!C$1:C$9955,MATCH($A125,ESLData!$B$1:$B$9955,0))),"",HLOOKUP("start",ESLData!C$1:C$9955,MATCH($A125,ESLData!$B$1:$B$9955,0)))</f>
        <v>Jchs-Rent</v>
      </c>
    </row>
    <row r="126" spans="1:12" s="368" customFormat="1" ht="14.25" customHeight="1" x14ac:dyDescent="0.2">
      <c r="A126" s="364">
        <v>30570</v>
      </c>
      <c r="C126" s="363">
        <f>HLOOKUP("start",ESLData!E$1:E$9955,MATCH($A126,ESLData!$B$1:$B$9955,0))</f>
        <v>3464.66</v>
      </c>
      <c r="E126" s="363">
        <f>HLOOKUP("start",ESLData!F$1:F$9955,MATCH($A126,ESLData!$B$1:$B$9955,0))</f>
        <v>3500</v>
      </c>
      <c r="G126" s="363">
        <f>HLOOKUP("start",ESLData!H$1:H$9955,MATCH($A126,ESLData!$B$1:$B$9955,0))</f>
        <v>2084.11</v>
      </c>
      <c r="J126" s="382" t="s">
        <v>1304</v>
      </c>
      <c r="K126" s="368" t="str">
        <f>IF(ISNA(HLOOKUP("start",ESLData!C$1:C$9955,MATCH($A126,ESLData!$B$1:$B$9955,0))),"",HLOOKUP("start",ESLData!C$1:C$9955,MATCH($A126,ESLData!$B$1:$B$9955,0)))</f>
        <v>Ict-Consumables</v>
      </c>
    </row>
    <row r="127" spans="1:12" s="368" customFormat="1" ht="14.25" customHeight="1" x14ac:dyDescent="0.2">
      <c r="A127" s="364">
        <v>30600</v>
      </c>
      <c r="C127" s="363">
        <f>HLOOKUP("start",ESLData!E$1:E$9955,MATCH($A127,ESLData!$B$1:$B$9955,0))</f>
        <v>895.54</v>
      </c>
      <c r="E127" s="363">
        <f>HLOOKUP("start",ESLData!F$1:F$9955,MATCH($A127,ESLData!$B$1:$B$9955,0))</f>
        <v>4000</v>
      </c>
      <c r="G127" s="363">
        <f>HLOOKUP("start",ESLData!H$1:H$9955,MATCH($A127,ESLData!$B$1:$B$9955,0))</f>
        <v>1304.3399999999999</v>
      </c>
      <c r="J127" s="382" t="s">
        <v>1304</v>
      </c>
      <c r="K127" s="368" t="str">
        <f>IF(ISNA(HLOOKUP("start",ESLData!C$1:C$9955,MATCH($A127,ESLData!$B$1:$B$9955,0))),"",HLOOKUP("start",ESLData!C$1:C$9955,MATCH($A127,ESLData!$B$1:$B$9955,0)))</f>
        <v>Kickstart</v>
      </c>
      <c r="L127" s="370" t="s">
        <v>1014</v>
      </c>
    </row>
    <row r="128" spans="1:12" s="368" customFormat="1" ht="14.25" customHeight="1" x14ac:dyDescent="0.2">
      <c r="A128" s="364">
        <v>30610</v>
      </c>
      <c r="C128" s="363">
        <f>HLOOKUP("start",ESLData!E$1:E$9955,MATCH($A128,ESLData!$B$1:$B$9955,0))</f>
        <v>10963.02</v>
      </c>
      <c r="E128" s="363">
        <f>HLOOKUP("start",ESLData!F$1:F$9955,MATCH($A128,ESLData!$B$1:$B$9955,0))</f>
        <v>13893</v>
      </c>
      <c r="G128" s="363">
        <f>HLOOKUP("start",ESLData!H$1:H$9955,MATCH($A128,ESLData!$B$1:$B$9955,0))</f>
        <v>7050.84</v>
      </c>
      <c r="J128" s="382" t="s">
        <v>1304</v>
      </c>
      <c r="K128" s="368" t="str">
        <f>IF(ISNA(HLOOKUP("start",ESLData!C$1:C$9955,MATCH($A128,ESLData!$B$1:$B$9955,0))),"",HLOOKUP("start",ESLData!C$1:C$9955,MATCH($A128,ESLData!$B$1:$B$9955,0)))</f>
        <v>Star Courses</v>
      </c>
    </row>
    <row r="129" spans="1:13" s="368" customFormat="1" ht="14.25" customHeight="1" x14ac:dyDescent="0.2">
      <c r="A129" s="364">
        <v>30660</v>
      </c>
      <c r="C129" s="363">
        <f>HLOOKUP("start",ESLData!E$1:E$9955,MATCH($A129,ESLData!$B$1:$B$9955,0))</f>
        <v>235.59</v>
      </c>
      <c r="E129" s="363">
        <f>HLOOKUP("start",ESLData!F$1:F$9955,MATCH($A129,ESLData!$B$1:$B$9955,0))</f>
        <v>3719</v>
      </c>
      <c r="G129" s="363">
        <f>HLOOKUP("start",ESLData!H$1:H$9955,MATCH($A129,ESLData!$B$1:$B$9955,0))</f>
        <v>326.44</v>
      </c>
      <c r="J129" s="382" t="s">
        <v>1304</v>
      </c>
      <c r="K129" s="368" t="str">
        <f>IF(ISNA(HLOOKUP("start",ESLData!C$1:C$9955,MATCH($A129,ESLData!$B$1:$B$9955,0))),"",HLOOKUP("start",ESLData!C$1:C$9955,MATCH($A129,ESLData!$B$1:$B$9955,0)))</f>
        <v>Special Education</v>
      </c>
    </row>
    <row r="130" spans="1:13" s="368" customFormat="1" ht="14.25" customHeight="1" x14ac:dyDescent="0.2">
      <c r="A130" s="364">
        <v>30710</v>
      </c>
      <c r="C130" s="363">
        <f>HLOOKUP("start",ESLData!E$1:E$9955,MATCH($A130,ESLData!$B$1:$B$9955,0))</f>
        <v>0</v>
      </c>
      <c r="D130" s="369"/>
      <c r="E130" s="363">
        <f>HLOOKUP("start",ESLData!F$1:F$9955,MATCH($A130,ESLData!$B$1:$B$9955,0))</f>
        <v>775</v>
      </c>
      <c r="F130" s="369"/>
      <c r="G130" s="363">
        <f>HLOOKUP("start",ESLData!H$1:H$9955,MATCH($A130,ESLData!$B$1:$B$9955,0))</f>
        <v>504.35</v>
      </c>
      <c r="H130" s="369"/>
      <c r="J130" s="382" t="s">
        <v>1304</v>
      </c>
      <c r="K130" s="368" t="str">
        <f>IF(ISNA(HLOOKUP("start",ESLData!C$1:C$9955,MATCH($A130,ESLData!$B$1:$B$9955,0))),"",HLOOKUP("start",ESLData!C$1:C$9955,MATCH($A130,ESLData!$B$1:$B$9955,0)))</f>
        <v>Kiwisport</v>
      </c>
    </row>
    <row r="131" spans="1:13" s="368" customFormat="1" ht="14.25" customHeight="1" x14ac:dyDescent="0.2">
      <c r="A131" s="364">
        <v>30230</v>
      </c>
      <c r="C131" s="363">
        <f>HLOOKUP("start",ESLData!E$1:E$9955,MATCH($A131,ESLData!$B$1:$B$9955,0))</f>
        <v>413.54</v>
      </c>
      <c r="E131" s="363">
        <f>HLOOKUP("start",ESLData!F$1:F$9955,MATCH($A131,ESLData!$B$1:$B$9955,0))</f>
        <v>250</v>
      </c>
      <c r="G131" s="363">
        <f>HLOOKUP("start",ESLData!H$1:H$9955,MATCH($A131,ESLData!$B$1:$B$9955,0))</f>
        <v>436.49</v>
      </c>
      <c r="J131" s="382" t="s">
        <v>1304</v>
      </c>
      <c r="K131" s="368" t="str">
        <f>IF(ISNA(HLOOKUP("start",ESLData!C$1:C$9955,MATCH($A131,ESLData!$B$1:$B$9955,0))),"",HLOOKUP("start",ESLData!C$1:C$9955,MATCH($A131,ESLData!$B$1:$B$9955,0)))</f>
        <v>Reimbursements</v>
      </c>
    </row>
    <row r="132" spans="1:13" s="368" customFormat="1" ht="14.25" customHeight="1" x14ac:dyDescent="0.2">
      <c r="A132" s="364">
        <v>30240</v>
      </c>
      <c r="C132" s="363">
        <f>HLOOKUP("start",ESLData!E$1:E$9955,MATCH($A132,ESLData!$B$1:$B$9955,0))</f>
        <v>733.81</v>
      </c>
      <c r="E132" s="363">
        <f>HLOOKUP("start",ESLData!F$1:F$9955,MATCH($A132,ESLData!$B$1:$B$9955,0))</f>
        <v>1000</v>
      </c>
      <c r="G132" s="363">
        <f>HLOOKUP("start",ESLData!H$1:H$9955,MATCH($A132,ESLData!$B$1:$B$9955,0))</f>
        <v>2246.98</v>
      </c>
      <c r="J132" s="382" t="s">
        <v>1304</v>
      </c>
      <c r="K132" s="368" t="str">
        <f>IF(ISNA(HLOOKUP("start",ESLData!C$1:C$9955,MATCH($A132,ESLData!$B$1:$B$9955,0))),"",HLOOKUP("start",ESLData!C$1:C$9955,MATCH($A132,ESLData!$B$1:$B$9955,0)))</f>
        <v>Subscriptions</v>
      </c>
    </row>
    <row r="133" spans="1:13" s="368" customFormat="1" ht="14.25" customHeight="1" x14ac:dyDescent="0.2">
      <c r="A133" s="364">
        <v>33550</v>
      </c>
      <c r="C133" s="363">
        <f>HLOOKUP("start",ESLData!E$1:E$9955,MATCH($A133,ESLData!$B$1:$B$9955,0))</f>
        <v>0</v>
      </c>
      <c r="D133" s="369"/>
      <c r="E133" s="363">
        <f>HLOOKUP("start",ESLData!F$1:F$9955,MATCH($A133,ESLData!$B$1:$B$9955,0))</f>
        <v>0</v>
      </c>
      <c r="F133" s="369"/>
      <c r="G133" s="363">
        <f>HLOOKUP("start",ESLData!H$1:H$9955,MATCH($A133,ESLData!$B$1:$B$9955,0))</f>
        <v>-77.38</v>
      </c>
      <c r="H133" s="369"/>
      <c r="J133" s="382" t="s">
        <v>1304</v>
      </c>
      <c r="K133" s="368" t="str">
        <f>IF(ISNA(HLOOKUP("start",ESLData!C$1:C$9955,MATCH($A133,ESLData!$B$1:$B$9955,0))),"",HLOOKUP("start",ESLData!C$1:C$9955,MATCH($A133,ESLData!$B$1:$B$9955,0)))</f>
        <v>Taxi Escorts</v>
      </c>
    </row>
    <row r="134" spans="1:13" s="368" customFormat="1" ht="14.25" customHeight="1" x14ac:dyDescent="0.2">
      <c r="A134" s="364">
        <v>30695</v>
      </c>
      <c r="C134" s="363">
        <f>HLOOKUP("start",ESLData!E$1:E$9955,MATCH($A134,ESLData!$B$1:$B$9955,0))</f>
        <v>1765.64</v>
      </c>
      <c r="E134" s="363">
        <f>HLOOKUP("start",ESLData!F$1:F$9955,MATCH($A134,ESLData!$B$1:$B$9955,0))</f>
        <v>1000</v>
      </c>
      <c r="G134" s="363">
        <f>HLOOKUP("start",ESLData!H$1:H$9955,MATCH($A134,ESLData!$B$1:$B$9955,0))</f>
        <v>1012.72</v>
      </c>
      <c r="J134" s="382" t="s">
        <v>1304</v>
      </c>
      <c r="K134" s="368" t="str">
        <f>IF(ISNA(HLOOKUP("start",ESLData!C$1:C$9955,MATCH($A134,ESLData!$B$1:$B$9955,0))),"",HLOOKUP("start",ESLData!C$1:C$9955,MATCH($A134,ESLData!$B$1:$B$9955,0)))</f>
        <v>General Consumables</v>
      </c>
    </row>
    <row r="135" spans="1:13" s="368" customFormat="1" ht="14.25" customHeight="1" x14ac:dyDescent="0.2">
      <c r="A135" s="364">
        <v>30700</v>
      </c>
      <c r="C135" s="363">
        <f>HLOOKUP("start",ESLData!E$1:E$9955,MATCH($A135,ESLData!$B$1:$B$9955,0))</f>
        <v>495.7</v>
      </c>
      <c r="E135" s="363">
        <f>HLOOKUP("start",ESLData!F$1:F$9955,MATCH($A135,ESLData!$B$1:$B$9955,0))</f>
        <v>1000</v>
      </c>
      <c r="G135" s="363">
        <f>HLOOKUP("start",ESLData!H$1:H$9955,MATCH($A135,ESLData!$B$1:$B$9955,0))</f>
        <v>1000.83</v>
      </c>
      <c r="J135" s="382" t="s">
        <v>1304</v>
      </c>
      <c r="K135" s="368" t="str">
        <f>IF(ISNA(HLOOKUP("start",ESLData!C$1:C$9955,MATCH($A135,ESLData!$B$1:$B$9955,0))),"",HLOOKUP("start",ESLData!C$1:C$9955,MATCH($A135,ESLData!$B$1:$B$9955,0)))</f>
        <v>Stationery</v>
      </c>
    </row>
    <row r="136" spans="1:13" s="368" customFormat="1" ht="14.25" customHeight="1" x14ac:dyDescent="0.2">
      <c r="A136" s="364">
        <v>30525</v>
      </c>
      <c r="C136" s="363">
        <f>HLOOKUP("start",ESLData!E$1:E$9955,MATCH($A136,ESLData!$B$1:$B$9955,0))</f>
        <v>1488.55</v>
      </c>
      <c r="E136" s="363">
        <f>HLOOKUP("start",ESLData!F$1:F$9955,MATCH($A136,ESLData!$B$1:$B$9955,0))</f>
        <v>2500</v>
      </c>
      <c r="G136" s="363">
        <f>HLOOKUP("start",ESLData!H$1:H$9955,MATCH($A136,ESLData!$B$1:$B$9955,0))</f>
        <v>1699.93</v>
      </c>
      <c r="J136" s="382" t="s">
        <v>1304</v>
      </c>
      <c r="K136" s="368" t="str">
        <f>IF(ISNA(HLOOKUP("start",ESLData!C$1:C$9955,MATCH($A136,ESLData!$B$1:$B$9955,0))),"",HLOOKUP("start",ESLData!C$1:C$9955,MATCH($A136,ESLData!$B$1:$B$9955,0)))</f>
        <v>Photocopying</v>
      </c>
    </row>
    <row r="137" spans="1:13" s="368" customFormat="1" ht="14.25" customHeight="1" x14ac:dyDescent="0.2">
      <c r="A137" s="364">
        <v>31040</v>
      </c>
      <c r="C137" s="363">
        <f>HLOOKUP("start",ESLData!E$1:E$9955,MATCH($A137,ESLData!$B$1:$B$9955,0))</f>
        <v>0</v>
      </c>
      <c r="E137" s="363">
        <f>HLOOKUP("start",ESLData!F$1:F$9955,MATCH($A137,ESLData!$B$1:$B$9955,0))</f>
        <v>0</v>
      </c>
      <c r="G137" s="363">
        <f>HLOOKUP("start",ESLData!H$1:H$9955,MATCH($A137,ESLData!$B$1:$B$9955,0))</f>
        <v>0</v>
      </c>
      <c r="J137" s="382" t="s">
        <v>1304</v>
      </c>
      <c r="K137" s="368" t="str">
        <f>IF(ISNA(HLOOKUP("start",ESLData!C$1:C$9955,MATCH($A137,ESLData!$B$1:$B$9955,0))),"",HLOOKUP("start",ESLData!C$1:C$9955,MATCH($A137,ESLData!$B$1:$B$9955,0)))</f>
        <v>Jchs-Consumables</v>
      </c>
      <c r="M137" s="370" t="s">
        <v>1014</v>
      </c>
    </row>
    <row r="138" spans="1:13" s="368" customFormat="1" ht="14.25" customHeight="1" x14ac:dyDescent="0.2">
      <c r="A138" s="364">
        <v>31045</v>
      </c>
      <c r="C138" s="363">
        <f>HLOOKUP("start",ESLData!E$1:E$9955,MATCH($A138,ESLData!$B$1:$B$9955,0))</f>
        <v>0</v>
      </c>
      <c r="E138" s="363">
        <f>HLOOKUP("start",ESLData!F$1:F$9955,MATCH($A138,ESLData!$B$1:$B$9955,0))</f>
        <v>0</v>
      </c>
      <c r="G138" s="363">
        <f>HLOOKUP("start",ESLData!H$1:H$9955,MATCH($A138,ESLData!$B$1:$B$9955,0))</f>
        <v>0</v>
      </c>
      <c r="J138" s="382" t="s">
        <v>1304</v>
      </c>
      <c r="K138" s="368" t="str">
        <f>IF(ISNA(HLOOKUP("start",ESLData!C$1:C$9955,MATCH($A138,ESLData!$B$1:$B$9955,0))),"",HLOOKUP("start",ESLData!C$1:C$9955,MATCH($A138,ESLData!$B$1:$B$9955,0)))</f>
        <v>Curriculum Resources</v>
      </c>
    </row>
    <row r="139" spans="1:13" s="368" customFormat="1" ht="14.25" customHeight="1" x14ac:dyDescent="0.2">
      <c r="A139" s="364">
        <v>32000</v>
      </c>
      <c r="C139" s="363">
        <f>HLOOKUP("start",ESLData!E$1:E$9955,MATCH($A139,ESLData!$B$1:$B$9955,0))</f>
        <v>70.72</v>
      </c>
      <c r="E139" s="363">
        <f>HLOOKUP("start",ESLData!F$1:F$9955,MATCH($A139,ESLData!$B$1:$B$9955,0))</f>
        <v>0</v>
      </c>
      <c r="G139" s="363">
        <f>HLOOKUP("start",ESLData!H$1:H$9955,MATCH($A139,ESLData!$B$1:$B$9955,0))</f>
        <v>6163.1</v>
      </c>
      <c r="J139" s="382" t="s">
        <v>1304</v>
      </c>
      <c r="K139" s="368" t="str">
        <f>IF(ISNA(HLOOKUP("start",ESLData!C$1:C$9955,MATCH($A139,ESLData!$B$1:$B$9955,0))),"",HLOOKUP("start",ESLData!C$1:C$9955,MATCH($A139,ESLData!$B$1:$B$9955,0)))</f>
        <v>Client Travel</v>
      </c>
    </row>
    <row r="140" spans="1:13" s="368" customFormat="1" ht="14.25" customHeight="1" x14ac:dyDescent="0.2">
      <c r="A140" s="364">
        <v>32010</v>
      </c>
      <c r="C140" s="363">
        <f>HLOOKUP("start",ESLData!E$1:E$9955,MATCH($A140,ESLData!$B$1:$B$9955,0))</f>
        <v>82.61</v>
      </c>
      <c r="E140" s="363">
        <f>HLOOKUP("start",ESLData!F$1:F$9955,MATCH($A140,ESLData!$B$1:$B$9955,0))</f>
        <v>0</v>
      </c>
      <c r="G140" s="363">
        <f>HLOOKUP("start",ESLData!H$1:H$9955,MATCH($A140,ESLData!$B$1:$B$9955,0))</f>
        <v>318.04000000000002</v>
      </c>
      <c r="J140" s="382" t="s">
        <v>1304</v>
      </c>
      <c r="K140" s="368" t="str">
        <f>IF(ISNA(HLOOKUP("start",ESLData!C$1:C$9955,MATCH($A140,ESLData!$B$1:$B$9955,0))),"",HLOOKUP("start",ESLData!C$1:C$9955,MATCH($A140,ESLData!$B$1:$B$9955,0)))</f>
        <v>Repairs &amp; Maintenance</v>
      </c>
    </row>
    <row r="141" spans="1:13" s="368" customFormat="1" ht="14.25" customHeight="1" x14ac:dyDescent="0.2">
      <c r="A141" s="364">
        <v>32020</v>
      </c>
      <c r="C141" s="363">
        <f>HLOOKUP("start",ESLData!E$1:E$9955,MATCH($A141,ESLData!$B$1:$B$9955,0))</f>
        <v>0</v>
      </c>
      <c r="E141" s="363">
        <f>HLOOKUP("start",ESLData!F$1:F$9955,MATCH($A141,ESLData!$B$1:$B$9955,0))</f>
        <v>0</v>
      </c>
      <c r="G141" s="363">
        <f>HLOOKUP("start",ESLData!H$1:H$9955,MATCH($A141,ESLData!$B$1:$B$9955,0))</f>
        <v>2121.86</v>
      </c>
      <c r="J141" s="382" t="s">
        <v>1304</v>
      </c>
      <c r="K141" s="368" t="str">
        <f>IF(ISNA(HLOOKUP("start",ESLData!C$1:C$9955,MATCH($A141,ESLData!$B$1:$B$9955,0))),"",HLOOKUP("start",ESLData!C$1:C$9955,MATCH($A141,ESLData!$B$1:$B$9955,0)))</f>
        <v>Consumables</v>
      </c>
    </row>
    <row r="142" spans="1:13" s="368" customFormat="1" ht="14.25" customHeight="1" x14ac:dyDescent="0.2">
      <c r="A142" s="364">
        <v>32030</v>
      </c>
      <c r="C142" s="363">
        <f>HLOOKUP("start",ESLData!E$1:E$9955,MATCH($A142,ESLData!$B$1:$B$9955,0))</f>
        <v>0</v>
      </c>
      <c r="E142" s="363">
        <f>HLOOKUP("start",ESLData!F$1:F$9955,MATCH($A142,ESLData!$B$1:$B$9955,0))</f>
        <v>0</v>
      </c>
      <c r="G142" s="363">
        <f>HLOOKUP("start",ESLData!H$1:H$9955,MATCH($A142,ESLData!$B$1:$B$9955,0))</f>
        <v>8574.34</v>
      </c>
      <c r="J142" s="382" t="s">
        <v>1304</v>
      </c>
      <c r="K142" s="368" t="str">
        <f>IF(ISNA(HLOOKUP("start",ESLData!C$1:C$9955,MATCH($A142,ESLData!$B$1:$B$9955,0))),"",HLOOKUP("start",ESLData!C$1:C$9955,MATCH($A142,ESLData!$B$1:$B$9955,0)))</f>
        <v>Food</v>
      </c>
    </row>
    <row r="143" spans="1:13" s="368" customFormat="1" ht="14.25" customHeight="1" x14ac:dyDescent="0.2">
      <c r="A143" s="364">
        <v>32040</v>
      </c>
      <c r="C143" s="363">
        <f>HLOOKUP("start",ESLData!E$1:E$9955,MATCH($A143,ESLData!$B$1:$B$9955,0))</f>
        <v>0</v>
      </c>
      <c r="E143" s="363">
        <f>HLOOKUP("start",ESLData!F$1:F$9955,MATCH($A143,ESLData!$B$1:$B$9955,0))</f>
        <v>0</v>
      </c>
      <c r="G143" s="363">
        <f>HLOOKUP("start",ESLData!H$1:H$9955,MATCH($A143,ESLData!$B$1:$B$9955,0))</f>
        <v>0</v>
      </c>
      <c r="J143" s="382" t="s">
        <v>1304</v>
      </c>
      <c r="K143" s="368" t="str">
        <f>IF(ISNA(HLOOKUP("start",ESLData!C$1:C$9955,MATCH($A143,ESLData!$B$1:$B$9955,0))),"",HLOOKUP("start",ESLData!C$1:C$9955,MATCH($A143,ESLData!$B$1:$B$9955,0)))</f>
        <v>Salaries - Kickstart</v>
      </c>
    </row>
    <row r="144" spans="1:13" s="368" customFormat="1" ht="14.25" customHeight="1" x14ac:dyDescent="0.2">
      <c r="A144" s="364">
        <v>32050</v>
      </c>
      <c r="C144" s="363">
        <f>HLOOKUP("start",ESLData!E$1:E$9955,MATCH($A144,ESLData!$B$1:$B$9955,0))</f>
        <v>0</v>
      </c>
      <c r="E144" s="363">
        <f>HLOOKUP("start",ESLData!F$1:F$9955,MATCH($A144,ESLData!$B$1:$B$9955,0))</f>
        <v>0</v>
      </c>
      <c r="G144" s="363">
        <f>HLOOKUP("start",ESLData!H$1:H$9955,MATCH($A144,ESLData!$B$1:$B$9955,0))</f>
        <v>1526.3</v>
      </c>
      <c r="J144" s="382" t="s">
        <v>1304</v>
      </c>
      <c r="K144" s="368" t="str">
        <f>IF(ISNA(HLOOKUP("start",ESLData!C$1:C$9955,MATCH($A144,ESLData!$B$1:$B$9955,0))),"",HLOOKUP("start",ESLData!C$1:C$9955,MATCH($A144,ESLData!$B$1:$B$9955,0)))</f>
        <v>Student Travel - Air</v>
      </c>
    </row>
    <row r="145" spans="1:12" s="368" customFormat="1" ht="14.25" customHeight="1" x14ac:dyDescent="0.2">
      <c r="A145" s="364">
        <v>32060</v>
      </c>
      <c r="C145" s="363">
        <f>HLOOKUP("start",ESLData!E$1:E$9955,MATCH($A145,ESLData!$B$1:$B$9955,0))</f>
        <v>0</v>
      </c>
      <c r="E145" s="363">
        <f>HLOOKUP("start",ESLData!F$1:F$9955,MATCH($A145,ESLData!$B$1:$B$9955,0))</f>
        <v>0</v>
      </c>
      <c r="G145" s="363">
        <f>HLOOKUP("start",ESLData!H$1:H$9955,MATCH($A145,ESLData!$B$1:$B$9955,0))</f>
        <v>19.71</v>
      </c>
      <c r="J145" s="382" t="s">
        <v>1304</v>
      </c>
      <c r="K145" s="368" t="str">
        <f>IF(ISNA(HLOOKUP("start",ESLData!C$1:C$9955,MATCH($A145,ESLData!$B$1:$B$9955,0))),"",HLOOKUP("start",ESLData!C$1:C$9955,MATCH($A145,ESLData!$B$1:$B$9955,0)))</f>
        <v>Student Travel - Taxis</v>
      </c>
    </row>
    <row r="146" spans="1:12" s="368" customFormat="1" ht="14.25" customHeight="1" x14ac:dyDescent="0.2">
      <c r="A146" s="364">
        <v>32070</v>
      </c>
      <c r="C146" s="363">
        <f>HLOOKUP("start",ESLData!E$1:E$9955,MATCH($A146,ESLData!$B$1:$B$9955,0))</f>
        <v>0</v>
      </c>
      <c r="E146" s="363">
        <f>HLOOKUP("start",ESLData!F$1:F$9955,MATCH($A146,ESLData!$B$1:$B$9955,0))</f>
        <v>0</v>
      </c>
      <c r="G146" s="363">
        <f>HLOOKUP("start",ESLData!H$1:H$9955,MATCH($A146,ESLData!$B$1:$B$9955,0))</f>
        <v>-217.39</v>
      </c>
      <c r="J146" s="382" t="s">
        <v>1304</v>
      </c>
      <c r="K146" s="368" t="str">
        <f>IF(ISNA(HLOOKUP("start",ESLData!C$1:C$9955,MATCH($A146,ESLData!$B$1:$B$9955,0))),"",HLOOKUP("start",ESLData!C$1:C$9955,MATCH($A146,ESLData!$B$1:$B$9955,0)))</f>
        <v>Programme Costs</v>
      </c>
    </row>
    <row r="147" spans="1:12" s="368" customFormat="1" ht="14.25" customHeight="1" x14ac:dyDescent="0.2">
      <c r="A147" s="364">
        <v>32080</v>
      </c>
      <c r="C147" s="363">
        <f>HLOOKUP("start",ESLData!E$1:E$9955,MATCH($A147,ESLData!$B$1:$B$9955,0))</f>
        <v>0</v>
      </c>
      <c r="E147" s="363">
        <f>HLOOKUP("start",ESLData!F$1:F$9955,MATCH($A147,ESLData!$B$1:$B$9955,0))</f>
        <v>0</v>
      </c>
      <c r="G147" s="363">
        <f>HLOOKUP("start",ESLData!H$1:H$9955,MATCH($A147,ESLData!$B$1:$B$9955,0))</f>
        <v>708.52</v>
      </c>
      <c r="J147" s="382" t="s">
        <v>1304</v>
      </c>
      <c r="K147" s="368" t="str">
        <f>IF(ISNA(HLOOKUP("start",ESLData!C$1:C$9955,MATCH($A147,ESLData!$B$1:$B$9955,0))),"",HLOOKUP("start",ESLData!C$1:C$9955,MATCH($A147,ESLData!$B$1:$B$9955,0)))</f>
        <v>Consumables</v>
      </c>
    </row>
    <row r="148" spans="1:12" s="368" customFormat="1" ht="14.25" customHeight="1" x14ac:dyDescent="0.2">
      <c r="A148" s="364">
        <v>32090</v>
      </c>
      <c r="C148" s="363">
        <f>HLOOKUP("start",ESLData!E$1:E$9955,MATCH($A148,ESLData!$B$1:$B$9955,0))</f>
        <v>0</v>
      </c>
      <c r="E148" s="363">
        <f>HLOOKUP("start",ESLData!F$1:F$9955,MATCH($A148,ESLData!$B$1:$B$9955,0))</f>
        <v>0</v>
      </c>
      <c r="G148" s="363">
        <f>HLOOKUP("start",ESLData!H$1:H$9955,MATCH($A148,ESLData!$B$1:$B$9955,0))</f>
        <v>0</v>
      </c>
      <c r="J148" s="382" t="s">
        <v>1304</v>
      </c>
      <c r="K148" s="368" t="str">
        <f>IF(ISNA(HLOOKUP("start",ESLData!C$1:C$9955,MATCH($A148,ESLData!$B$1:$B$9955,0))),"",HLOOKUP("start",ESLData!C$1:C$9955,MATCH($A148,ESLData!$B$1:$B$9955,0)))</f>
        <v>Recreational Outings</v>
      </c>
    </row>
    <row r="149" spans="1:12" s="368" customFormat="1" ht="14.25" customHeight="1" x14ac:dyDescent="0.2">
      <c r="A149" s="364">
        <v>32100</v>
      </c>
      <c r="C149" s="363">
        <f>HLOOKUP("start",ESLData!E$1:E$9955,MATCH($A149,ESLData!$B$1:$B$9955,0))</f>
        <v>0</v>
      </c>
      <c r="D149" s="369"/>
      <c r="E149" s="363">
        <f>HLOOKUP("start",ESLData!F$1:F$9955,MATCH($A149,ESLData!$B$1:$B$9955,0))</f>
        <v>0</v>
      </c>
      <c r="F149" s="369"/>
      <c r="G149" s="363">
        <f>HLOOKUP("start",ESLData!H$1:H$9955,MATCH($A149,ESLData!$B$1:$B$9955,0))</f>
        <v>0</v>
      </c>
      <c r="H149" s="369"/>
      <c r="J149" s="382" t="s">
        <v>1304</v>
      </c>
      <c r="K149" s="368" t="str">
        <f>IF(ISNA(HLOOKUP("start",ESLData!C$1:C$9955,MATCH($A149,ESLData!$B$1:$B$9955,0))),"",HLOOKUP("start",ESLData!C$1:C$9955,MATCH($A149,ESLData!$B$1:$B$9955,0)))</f>
        <v>Food</v>
      </c>
    </row>
    <row r="150" spans="1:12" s="368" customFormat="1" ht="14.25" customHeight="1" x14ac:dyDescent="0.2">
      <c r="A150" s="364">
        <v>30522</v>
      </c>
      <c r="C150" s="363">
        <f>HLOOKUP("start",ESLData!E$1:E$9955,MATCH($A150,ESLData!$B$1:$B$9955,0))</f>
        <v>0</v>
      </c>
      <c r="E150" s="363">
        <f>HLOOKUP("start",ESLData!F$1:F$9955,MATCH($A150,ESLData!$B$1:$B$9955,0))</f>
        <v>0</v>
      </c>
      <c r="G150" s="363">
        <f>HLOOKUP("start",ESLData!H$1:H$9955,MATCH($A150,ESLData!$B$1:$B$9955,0))</f>
        <v>0</v>
      </c>
      <c r="J150" s="382" t="s">
        <v>1304</v>
      </c>
      <c r="K150" s="368" t="str">
        <f>IF(ISNA(HLOOKUP("start",ESLData!C$1:C$9955,MATCH($A150,ESLData!$B$1:$B$9955,0))),"",HLOOKUP("start",ESLData!C$1:C$9955,MATCH($A150,ESLData!$B$1:$B$9955,0)))</f>
        <v>Expanded Core Curriculum</v>
      </c>
    </row>
    <row r="151" spans="1:12" s="368" customFormat="1" ht="14.25" customHeight="1" x14ac:dyDescent="0.2">
      <c r="A151" s="364">
        <v>30530</v>
      </c>
      <c r="C151" s="363">
        <f>HLOOKUP("start",ESLData!E$1:E$9955,MATCH($A151,ESLData!$B$1:$B$9955,0))</f>
        <v>0</v>
      </c>
      <c r="E151" s="363">
        <f>HLOOKUP("start",ESLData!F$1:F$9955,MATCH($A151,ESLData!$B$1:$B$9955,0))</f>
        <v>0</v>
      </c>
      <c r="G151" s="363">
        <f>HLOOKUP("start",ESLData!H$1:H$9955,MATCH($A151,ESLData!$B$1:$B$9955,0))</f>
        <v>0</v>
      </c>
      <c r="J151" s="382" t="s">
        <v>1304</v>
      </c>
      <c r="K151" s="368" t="str">
        <f>IF(ISNA(HLOOKUP("start",ESLData!C$1:C$9955,MATCH($A151,ESLData!$B$1:$B$9955,0))),"",HLOOKUP("start",ESLData!C$1:C$9955,MATCH($A151,ESLData!$B$1:$B$9955,0)))</f>
        <v>Esol</v>
      </c>
    </row>
    <row r="152" spans="1:12" s="368" customFormat="1" ht="14.25" customHeight="1" x14ac:dyDescent="0.2">
      <c r="A152" s="364">
        <v>30520</v>
      </c>
      <c r="C152" s="363">
        <f>HLOOKUP("start",ESLData!E$1:E$9955,MATCH($A152,ESLData!$B$1:$B$9955,0))</f>
        <v>0</v>
      </c>
      <c r="E152" s="363">
        <f>HLOOKUP("start",ESLData!F$1:F$9955,MATCH($A152,ESLData!$B$1:$B$9955,0))</f>
        <v>0</v>
      </c>
      <c r="G152" s="363">
        <f>HLOOKUP("start",ESLData!H$1:H$9955,MATCH($A152,ESLData!$B$1:$B$9955,0))</f>
        <v>8.41</v>
      </c>
      <c r="J152" s="382" t="s">
        <v>1304</v>
      </c>
      <c r="K152" s="368" t="str">
        <f>IF(ISNA(HLOOKUP("start",ESLData!C$1:C$9955,MATCH($A152,ESLData!$B$1:$B$9955,0))),"",HLOOKUP("start",ESLData!C$1:C$9955,MATCH($A152,ESLData!$B$1:$B$9955,0)))</f>
        <v>Classrooms</v>
      </c>
    </row>
    <row r="153" spans="1:12" s="368" customFormat="1" ht="14.25" customHeight="1" x14ac:dyDescent="0.2">
      <c r="A153" s="364">
        <v>31050</v>
      </c>
      <c r="C153" s="363">
        <f>HLOOKUP("start",ESLData!E$1:E$9955,MATCH($A153,ESLData!$B$1:$B$9955,0))</f>
        <v>0</v>
      </c>
      <c r="D153" s="400">
        <f>ROUND(SUM(C124:C153),0)</f>
        <v>26362</v>
      </c>
      <c r="E153" s="363">
        <f>HLOOKUP("start",ESLData!F$1:F$9955,MATCH($A153,ESLData!$B$1:$B$9955,0))</f>
        <v>0</v>
      </c>
      <c r="F153" s="381">
        <f>ROUND(SUM(E124:E153),0)</f>
        <v>41637</v>
      </c>
      <c r="G153" s="363">
        <f>HLOOKUP("start",ESLData!H$1:H$9955,MATCH($A153,ESLData!$B$1:$B$9955,0))</f>
        <v>0</v>
      </c>
      <c r="H153" s="400">
        <f>ROUND(SUM(G124:G153),0)</f>
        <v>44880</v>
      </c>
      <c r="J153" s="382" t="s">
        <v>1304</v>
      </c>
      <c r="K153" s="368" t="str">
        <f>IF(ISNA(HLOOKUP("start",ESLData!C$1:C$9955,MATCH($A153,ESLData!$B$1:$B$9955,0))),"",HLOOKUP("start",ESLData!C$1:C$9955,MATCH($A153,ESLData!$B$1:$B$9955,0)))</f>
        <v>Jchs-Telephone/Tolls/Faxes</v>
      </c>
    </row>
    <row r="154" spans="1:12" s="368" customFormat="1" ht="14.25" customHeight="1" x14ac:dyDescent="0.2">
      <c r="A154" s="367" t="s">
        <v>1285</v>
      </c>
      <c r="C154" s="363"/>
      <c r="E154" s="363"/>
      <c r="G154" s="363"/>
      <c r="J154" s="382" t="s">
        <v>1304</v>
      </c>
      <c r="K154" s="368" t="str">
        <f>IF(ISNA(HLOOKUP("start",ESLData!C$1:C$9955,MATCH($A154,ESLData!$B$1:$B$9955,0))),"",HLOOKUP("start",ESLData!C$1:C$9955,MATCH($A154,ESLData!$B$1:$B$9955,0)))</f>
        <v/>
      </c>
    </row>
    <row r="155" spans="1:12" s="368" customFormat="1" ht="14.25" customHeight="1" x14ac:dyDescent="0.2">
      <c r="A155" s="365" t="s">
        <v>1306</v>
      </c>
      <c r="C155" s="363"/>
      <c r="E155" s="363"/>
      <c r="G155" s="363"/>
      <c r="J155" s="382" t="s">
        <v>1304</v>
      </c>
      <c r="K155" s="368" t="str">
        <f>IF(ISNA(HLOOKUP("start",ESLData!C$1:C$9955,MATCH($A155,ESLData!$B$1:$B$9955,0))),"",HLOOKUP("start",ESLData!C$1:C$9955,MATCH($A155,ESLData!$B$1:$B$9955,0)))</f>
        <v/>
      </c>
    </row>
    <row r="156" spans="1:12" s="368" customFormat="1" ht="14.25" customHeight="1" x14ac:dyDescent="0.2">
      <c r="A156" s="364">
        <v>30100</v>
      </c>
      <c r="C156" s="363">
        <f>HLOOKUP("start",ESLData!E$1:E$9955,MATCH($A156,ESLData!$B$1:$B$9955,0))</f>
        <v>5099.3</v>
      </c>
      <c r="D156" s="400">
        <f>ROUND(SUM(C155:C156),0)</f>
        <v>5099</v>
      </c>
      <c r="E156" s="363">
        <f>HLOOKUP("start",ESLData!F$1:F$9955,MATCH($A156,ESLData!$B$1:$B$9955,0))</f>
        <v>7000</v>
      </c>
      <c r="F156" s="381">
        <f>ROUND(SUM(E155:E156),0)</f>
        <v>7000</v>
      </c>
      <c r="G156" s="363">
        <f>HLOOKUP("start",ESLData!H$1:H$9955,MATCH($A156,ESLData!$B$1:$B$9955,0))</f>
        <v>7368.24</v>
      </c>
      <c r="H156" s="405">
        <f>ROUND(SUM(G155:G156),0)</f>
        <v>7368</v>
      </c>
      <c r="J156" s="382" t="s">
        <v>1304</v>
      </c>
      <c r="K156" s="368" t="str">
        <f>IF(ISNA(HLOOKUP("start",ESLData!C$1:C$9955,MATCH($A156,ESLData!$B$1:$B$9955,0))),"",HLOOKUP("start",ESLData!C$1:C$9955,MATCH($A156,ESLData!$B$1:$B$9955,0)))</f>
        <v>R&amp;M - Classroom Equipment</v>
      </c>
      <c r="L156" s="370" t="s">
        <v>1014</v>
      </c>
    </row>
    <row r="157" spans="1:12" s="368" customFormat="1" ht="14.25" customHeight="1" x14ac:dyDescent="0.2">
      <c r="A157" s="367" t="s">
        <v>601</v>
      </c>
      <c r="C157" s="363"/>
      <c r="E157" s="363"/>
      <c r="G157" s="363"/>
      <c r="J157" s="382" t="s">
        <v>1304</v>
      </c>
      <c r="K157" s="368" t="str">
        <f>IF(ISNA(HLOOKUP("start",ESLData!C$1:C$9955,MATCH($A157,ESLData!$B$1:$B$9955,0))),"",HLOOKUP("start",ESLData!C$1:C$9955,MATCH($A157,ESLData!$B$1:$B$9955,0)))</f>
        <v/>
      </c>
    </row>
    <row r="158" spans="1:12" s="368" customFormat="1" ht="14.25" customHeight="1" x14ac:dyDescent="0.2">
      <c r="A158" s="364">
        <v>30330</v>
      </c>
      <c r="C158" s="363">
        <f>HLOOKUP("start",ESLData!E$1:E$9955,MATCH($A158,ESLData!$B$1:$B$9955,0))</f>
        <v>26932.880000000001</v>
      </c>
      <c r="E158" s="363">
        <f>HLOOKUP("start",ESLData!F$1:F$9955,MATCH($A158,ESLData!$B$1:$B$9955,0))</f>
        <v>26764</v>
      </c>
      <c r="G158" s="363">
        <f>HLOOKUP("start",ESLData!H$1:H$9955,MATCH($A158,ESLData!$B$1:$B$9955,0))</f>
        <v>27123.79</v>
      </c>
      <c r="J158" s="382" t="s">
        <v>1304</v>
      </c>
      <c r="K158" s="368" t="str">
        <f>IF(ISNA(HLOOKUP("start",ESLData!C$1:C$9955,MATCH($A158,ESLData!$B$1:$B$9955,0))),"",HLOOKUP("start",ESLData!C$1:C$9955,MATCH($A158,ESLData!$B$1:$B$9955,0)))</f>
        <v>Salaries - Ancillary</v>
      </c>
    </row>
    <row r="159" spans="1:12" s="368" customFormat="1" ht="14.25" customHeight="1" x14ac:dyDescent="0.2">
      <c r="A159" s="364">
        <v>30350</v>
      </c>
      <c r="C159" s="363">
        <f>HLOOKUP("start",ESLData!E$1:E$9955,MATCH($A159,ESLData!$B$1:$B$9955,0))</f>
        <v>30324.53</v>
      </c>
      <c r="E159" s="363">
        <f>HLOOKUP("start",ESLData!F$1:F$9955,MATCH($A159,ESLData!$B$1:$B$9955,0))</f>
        <v>44000</v>
      </c>
      <c r="G159" s="363">
        <f>HLOOKUP("start",ESLData!H$1:H$9955,MATCH($A159,ESLData!$B$1:$B$9955,0))</f>
        <v>17336.009999999998</v>
      </c>
      <c r="J159" s="382" t="s">
        <v>1304</v>
      </c>
      <c r="K159" s="368" t="str">
        <f>IF(ISNA(HLOOKUP("start",ESLData!C$1:C$9955,MATCH($A159,ESLData!$B$1:$B$9955,0))),"",HLOOKUP("start",ESLData!C$1:C$9955,MATCH($A159,ESLData!$B$1:$B$9955,0)))</f>
        <v>Salaries - Relieving - Sick</v>
      </c>
    </row>
    <row r="160" spans="1:12" s="368" customFormat="1" ht="14.25" customHeight="1" x14ac:dyDescent="0.2">
      <c r="A160" s="364">
        <v>30380</v>
      </c>
      <c r="C160" s="363">
        <f>HLOOKUP("start",ESLData!E$1:E$9955,MATCH($A160,ESLData!$B$1:$B$9955,0))</f>
        <v>9507797</v>
      </c>
      <c r="E160" s="363">
        <f>HLOOKUP("start",ESLData!F$1:F$9955,MATCH($A160,ESLData!$B$1:$B$9955,0))</f>
        <v>8850000</v>
      </c>
      <c r="G160" s="363">
        <f>HLOOKUP("start",ESLData!H$1:H$9955,MATCH($A160,ESLData!$B$1:$B$9955,0))</f>
        <v>8755259.5600000005</v>
      </c>
      <c r="J160" s="382" t="s">
        <v>1304</v>
      </c>
      <c r="K160" s="368" t="str">
        <f>IF(ISNA(HLOOKUP("start",ESLData!C$1:C$9955,MATCH($A160,ESLData!$B$1:$B$9955,0))),"",HLOOKUP("start",ESLData!C$1:C$9955,MATCH($A160,ESLData!$B$1:$B$9955,0)))</f>
        <v>Teachers Salaries</v>
      </c>
    </row>
    <row r="161" spans="1:11" s="368" customFormat="1" ht="14.25" customHeight="1" x14ac:dyDescent="0.2">
      <c r="A161" s="364">
        <v>30390</v>
      </c>
      <c r="C161" s="363">
        <f>HLOOKUP("start",ESLData!E$1:E$9955,MATCH($A161,ESLData!$B$1:$B$9955,0))</f>
        <v>47171.44</v>
      </c>
      <c r="E161" s="363">
        <f>HLOOKUP("start",ESLData!F$1:F$9955,MATCH($A161,ESLData!$B$1:$B$9955,0))</f>
        <v>54000</v>
      </c>
      <c r="G161" s="363">
        <f>HLOOKUP("start",ESLData!H$1:H$9955,MATCH($A161,ESLData!$B$1:$B$9955,0))</f>
        <v>21269.98</v>
      </c>
      <c r="J161" s="382" t="s">
        <v>1304</v>
      </c>
      <c r="K161" s="368" t="str">
        <f>IF(ISNA(HLOOKUP("start",ESLData!C$1:C$9955,MATCH($A161,ESLData!$B$1:$B$9955,0))),"",HLOOKUP("start",ESLData!C$1:C$9955,MATCH($A161,ESLData!$B$1:$B$9955,0)))</f>
        <v>Acc Funded Teacher Aide</v>
      </c>
    </row>
    <row r="162" spans="1:11" s="375" customFormat="1" ht="14.25" customHeight="1" x14ac:dyDescent="0.2">
      <c r="A162" s="364">
        <v>34140</v>
      </c>
      <c r="B162" s="368"/>
      <c r="C162" s="363">
        <f>HLOOKUP("start",ESLData!E$1:E$9955,MATCH($A162,ESLData!$B$1:$B$9955,0))</f>
        <v>0</v>
      </c>
      <c r="D162" s="369"/>
      <c r="E162" s="363">
        <f>HLOOKUP("start",ESLData!F$1:F$9955,MATCH($A162,ESLData!$B$1:$B$9955,0))</f>
        <v>0</v>
      </c>
      <c r="F162" s="369"/>
      <c r="G162" s="363">
        <f>HLOOKUP("start",ESLData!H$1:H$9955,MATCH($A162,ESLData!$B$1:$B$9955,0))</f>
        <v>0</v>
      </c>
      <c r="H162" s="369"/>
      <c r="K162" s="368" t="str">
        <f>IF(ISNA(HLOOKUP("start",ESLData!C$1:C$9955,MATCH($A162,ESLData!$B$1:$B$9955,0))),"",HLOOKUP("start",ESLData!C$1:C$9955,MATCH($A162,ESLData!$B$1:$B$9955,0)))</f>
        <v>Braille Music Teacher Contract</v>
      </c>
    </row>
    <row r="163" spans="1:11" s="368" customFormat="1" ht="14.25" customHeight="1" x14ac:dyDescent="0.2">
      <c r="A163" s="364">
        <v>30385</v>
      </c>
      <c r="C163" s="363">
        <f>HLOOKUP("start",ESLData!E$1:E$9955,MATCH($A163,ESLData!$B$1:$B$9955,0))</f>
        <v>2233.7600000000002</v>
      </c>
      <c r="E163" s="363">
        <f>HLOOKUP("start",ESLData!F$1:F$9955,MATCH($A163,ESLData!$B$1:$B$9955,0))</f>
        <v>0</v>
      </c>
      <c r="G163" s="363">
        <f>HLOOKUP("start",ESLData!H$1:H$9955,MATCH($A163,ESLData!$B$1:$B$9955,0))</f>
        <v>2671.86</v>
      </c>
      <c r="J163" s="382" t="s">
        <v>1304</v>
      </c>
      <c r="K163" s="368" t="str">
        <f>IF(ISNA(HLOOKUP("start",ESLData!C$1:C$9955,MATCH($A163,ESLData!$B$1:$B$9955,0))),"",HLOOKUP("start",ESLData!C$1:C$9955,MATCH($A163,ESLData!$B$1:$B$9955,0)))</f>
        <v>Salaries - Banked Staffing Under-usage</v>
      </c>
    </row>
    <row r="164" spans="1:11" s="368" customFormat="1" ht="14.25" customHeight="1" x14ac:dyDescent="0.2">
      <c r="A164" s="364">
        <v>30331</v>
      </c>
      <c r="C164" s="363">
        <f>HLOOKUP("start",ESLData!E$1:E$9955,MATCH($A164,ESLData!$B$1:$B$9955,0))</f>
        <v>0</v>
      </c>
      <c r="E164" s="363">
        <f>HLOOKUP("start",ESLData!F$1:F$9955,MATCH($A164,ESLData!$B$1:$B$9955,0))</f>
        <v>0</v>
      </c>
      <c r="G164" s="363">
        <f>HLOOKUP("start",ESLData!H$1:H$9955,MATCH($A164,ESLData!$B$1:$B$9955,0))</f>
        <v>0</v>
      </c>
      <c r="J164" s="382" t="s">
        <v>1304</v>
      </c>
      <c r="K164" s="368" t="str">
        <f>IF(ISNA(HLOOKUP("start",ESLData!C$1:C$9955,MATCH($A164,ESLData!$B$1:$B$9955,0))),"",HLOOKUP("start",ESLData!C$1:C$9955,MATCH($A164,ESLData!$B$1:$B$9955,0)))</f>
        <v>Annual Leave Expenses</v>
      </c>
    </row>
    <row r="165" spans="1:11" s="368" customFormat="1" ht="14.25" customHeight="1" x14ac:dyDescent="0.2">
      <c r="A165" s="364">
        <v>30395</v>
      </c>
      <c r="C165" s="363">
        <f>HLOOKUP("start",ESLData!E$1:E$9955,MATCH($A165,ESLData!$B$1:$B$9955,0))</f>
        <v>1588.04</v>
      </c>
      <c r="D165" s="400">
        <f>ROUND(SUM(C158:C165),0)</f>
        <v>9616048</v>
      </c>
      <c r="E165" s="363">
        <f>HLOOKUP("start",ESLData!F$1:F$9955,MATCH($A165,ESLData!$B$1:$B$9955,0))</f>
        <v>4000</v>
      </c>
      <c r="F165" s="381">
        <f>ROUND(SUM(E158:E165),0)</f>
        <v>8978764</v>
      </c>
      <c r="G165" s="363">
        <f>HLOOKUP("start",ESLData!H$1:H$9955,MATCH($A165,ESLData!$B$1:$B$9955,0))</f>
        <v>142.43</v>
      </c>
      <c r="H165" s="400">
        <f>ROUND(SUM(G158:G165),0)</f>
        <v>8823804</v>
      </c>
      <c r="J165" s="382" t="s">
        <v>1304</v>
      </c>
      <c r="K165" s="368" t="str">
        <f>IF(ISNA(HLOOKUP("start",ESLData!C$1:C$9955,MATCH($A165,ESLData!$B$1:$B$9955,0))),"",HLOOKUP("start",ESLData!C$1:C$9955,MATCH($A165,ESLData!$B$1:$B$9955,0)))</f>
        <v>Guidance Counsellor contract</v>
      </c>
    </row>
    <row r="166" spans="1:11" s="368" customFormat="1" ht="14.25" customHeight="1" x14ac:dyDescent="0.2">
      <c r="A166" s="367" t="s">
        <v>602</v>
      </c>
      <c r="C166" s="363"/>
      <c r="E166" s="363"/>
      <c r="G166" s="363"/>
      <c r="J166" s="382" t="s">
        <v>1304</v>
      </c>
      <c r="K166" s="368" t="str">
        <f>IF(ISNA(HLOOKUP("start",ESLData!C$1:C$9955,MATCH($A166,ESLData!$B$1:$B$9955,0))),"",HLOOKUP("start",ESLData!C$1:C$9955,MATCH($A166,ESLData!$B$1:$B$9955,0)))</f>
        <v/>
      </c>
    </row>
    <row r="167" spans="1:11" s="368" customFormat="1" ht="14.25" customHeight="1" x14ac:dyDescent="0.2">
      <c r="A167" s="364">
        <v>30400</v>
      </c>
      <c r="C167" s="363">
        <f>HLOOKUP("start",ESLData!E$1:E$9955,MATCH($A167,ESLData!$B$1:$B$9955,0))</f>
        <v>3708.92</v>
      </c>
      <c r="E167" s="363">
        <f>HLOOKUP("start",ESLData!F$1:F$9955,MATCH($A167,ESLData!$B$1:$B$9955,0))</f>
        <v>4000</v>
      </c>
      <c r="G167" s="363">
        <f>HLOOKUP("start",ESLData!H$1:H$9955,MATCH($A167,ESLData!$B$1:$B$9955,0))</f>
        <v>2038.36</v>
      </c>
      <c r="J167" s="382" t="s">
        <v>1304</v>
      </c>
      <c r="K167" s="368" t="str">
        <f>IF(ISNA(HLOOKUP("start",ESLData!C$1:C$9955,MATCH($A167,ESLData!$B$1:$B$9955,0))),"",HLOOKUP("start",ESLData!C$1:C$9955,MATCH($A167,ESLData!$B$1:$B$9955,0)))</f>
        <v>Prof Dev - Training &amp; Travel</v>
      </c>
    </row>
    <row r="168" spans="1:11" s="368" customFormat="1" ht="14.25" customHeight="1" x14ac:dyDescent="0.2">
      <c r="A168" s="364">
        <v>30401</v>
      </c>
      <c r="C168" s="363">
        <f>HLOOKUP("start",ESLData!E$1:E$9955,MATCH($A168,ESLData!$B$1:$B$9955,0))</f>
        <v>260.83999999999997</v>
      </c>
      <c r="D168" s="369"/>
      <c r="E168" s="363">
        <f>HLOOKUP("start",ESLData!F$1:F$9955,MATCH($A168,ESLData!$B$1:$B$9955,0))</f>
        <v>10000</v>
      </c>
      <c r="F168" s="369"/>
      <c r="G168" s="363">
        <f>HLOOKUP("start",ESLData!H$1:H$9955,MATCH($A168,ESLData!$B$1:$B$9955,0))</f>
        <v>3000</v>
      </c>
      <c r="H168" s="369"/>
      <c r="J168" s="382" t="s">
        <v>1304</v>
      </c>
      <c r="K168" s="368" t="str">
        <f>IF(ISNA(HLOOKUP("start",ESLData!C$1:C$9955,MATCH($A168,ESLData!$B$1:$B$9955,0))),"",HLOOKUP("start",ESLData!C$1:C$9955,MATCH($A168,ESLData!$B$1:$B$9955,0)))</f>
        <v>PB4L</v>
      </c>
    </row>
    <row r="169" spans="1:11" s="368" customFormat="1" ht="14.25" customHeight="1" x14ac:dyDescent="0.2">
      <c r="A169" s="365">
        <v>34453</v>
      </c>
      <c r="C169" s="363">
        <f>HLOOKUP("start",ESLData!E$1:E$9955,MATCH($A169,ESLData!$B$1:$B$9955,0))</f>
        <v>0</v>
      </c>
      <c r="D169" s="400">
        <f>ROUND(SUM(C167:C169),0)</f>
        <v>3970</v>
      </c>
      <c r="E169" s="363">
        <f>HLOOKUP("start",ESLData!F$1:F$9955,MATCH($A169,ESLData!$B$1:$B$9955,0))</f>
        <v>0</v>
      </c>
      <c r="F169" s="381">
        <f>ROUND(SUM(E167:E169),0)</f>
        <v>14000</v>
      </c>
      <c r="G169" s="363">
        <f>HLOOKUP("start",ESLData!H$1:H$9955,MATCH($A169,ESLData!$B$1:$B$9955,0))</f>
        <v>0</v>
      </c>
      <c r="H169" s="400">
        <f>ROUND(SUM(G167:G169),0)</f>
        <v>5038</v>
      </c>
      <c r="J169" s="382" t="s">
        <v>1304</v>
      </c>
      <c r="K169" s="368" t="str">
        <f>IF(ISNA(HLOOKUP("start",ESLData!C$1:C$9955,MATCH($A169,ESLData!$B$1:$B$9955,0))),"",HLOOKUP("start",ESLData!C$1:C$9955,MATCH($A169,ESLData!$B$1:$B$9955,0)))</f>
        <v>Teacher Aide PD</v>
      </c>
    </row>
    <row r="170" spans="1:11" s="368" customFormat="1" ht="14.25" customHeight="1" x14ac:dyDescent="0.2">
      <c r="A170" s="365"/>
      <c r="C170" s="363"/>
      <c r="E170" s="363"/>
      <c r="F170" s="369"/>
      <c r="G170" s="363"/>
      <c r="K170" s="368" t="str">
        <f>IF(ISNA(HLOOKUP("start",ESLData!C$1:C$9955,MATCH($A170,ESLData!$B$1:$B$9955,0))),"",HLOOKUP("start",ESLData!C$1:C$9955,MATCH($A170,ESLData!$B$1:$B$9955,0)))</f>
        <v/>
      </c>
    </row>
    <row r="171" spans="1:11" s="379" customFormat="1" ht="14.25" customHeight="1" x14ac:dyDescent="0.2">
      <c r="A171" s="376" t="s">
        <v>1286</v>
      </c>
      <c r="B171" s="368"/>
      <c r="C171" s="363"/>
      <c r="D171" s="368"/>
      <c r="E171" s="363"/>
      <c r="F171" s="368"/>
      <c r="G171" s="363"/>
      <c r="H171" s="368"/>
      <c r="K171" s="368" t="str">
        <f>IF(ISNA(HLOOKUP("start",ESLData!C$1:C$9955,MATCH($A171,ESLData!$B$1:$B$9955,0))),"",HLOOKUP("start",ESLData!C$1:C$9955,MATCH($A171,ESLData!$B$1:$B$9955,0)))</f>
        <v/>
      </c>
    </row>
    <row r="172" spans="1:11" s="368" customFormat="1" ht="14.25" customHeight="1" x14ac:dyDescent="0.2">
      <c r="A172" s="367" t="s">
        <v>812</v>
      </c>
      <c r="C172" s="363"/>
      <c r="E172" s="363"/>
      <c r="G172" s="363"/>
      <c r="K172" s="368" t="str">
        <f>IF(ISNA(HLOOKUP("start",ESLData!C$1:C$9955,MATCH($A172,ESLData!$B$1:$B$9955,0))),"",HLOOKUP("start",ESLData!C$1:C$9955,MATCH($A172,ESLData!$B$1:$B$9955,0)))</f>
        <v/>
      </c>
    </row>
    <row r="173" spans="1:11" s="368" customFormat="1" ht="14.25" customHeight="1" x14ac:dyDescent="0.2">
      <c r="A173" s="364">
        <v>33450</v>
      </c>
      <c r="C173" s="363">
        <f>HLOOKUP("start",ESLData!E$1:E$9955,MATCH($A173,ESLData!$B$1:$B$9955,0))</f>
        <v>33546.51</v>
      </c>
      <c r="E173" s="363">
        <f>HLOOKUP("start",ESLData!F$1:F$9955,MATCH($A173,ESLData!$B$1:$B$9955,0))</f>
        <v>39000</v>
      </c>
      <c r="G173" s="363">
        <f>HLOOKUP("start",ESLData!H$1:H$9955,MATCH($A173,ESLData!$B$1:$B$9955,0))</f>
        <v>30277.06</v>
      </c>
      <c r="J173" s="382" t="s">
        <v>1304</v>
      </c>
      <c r="K173" s="368" t="str">
        <f>IF(ISNA(HLOOKUP("start",ESLData!C$1:C$9955,MATCH($A173,ESLData!$B$1:$B$9955,0))),"",HLOOKUP("start",ESLData!C$1:C$9955,MATCH($A173,ESLData!$B$1:$B$9955,0)))</f>
        <v>Speech Language Therapy</v>
      </c>
    </row>
    <row r="174" spans="1:11" s="368" customFormat="1" ht="14.25" customHeight="1" x14ac:dyDescent="0.2">
      <c r="A174" s="364">
        <v>33460</v>
      </c>
      <c r="C174" s="363">
        <f>HLOOKUP("start",ESLData!E$1:E$9955,MATCH($A174,ESLData!$B$1:$B$9955,0))</f>
        <v>35607.01</v>
      </c>
      <c r="E174" s="363">
        <f>HLOOKUP("start",ESLData!F$1:F$9955,MATCH($A174,ESLData!$B$1:$B$9955,0))</f>
        <v>39000</v>
      </c>
      <c r="G174" s="363">
        <f>HLOOKUP("start",ESLData!H$1:H$9955,MATCH($A174,ESLData!$B$1:$B$9955,0))</f>
        <v>40144</v>
      </c>
      <c r="J174" s="382" t="s">
        <v>1304</v>
      </c>
      <c r="K174" s="368" t="str">
        <f>IF(ISNA(HLOOKUP("start",ESLData!C$1:C$9955,MATCH($A174,ESLData!$B$1:$B$9955,0))),"",HLOOKUP("start",ESLData!C$1:C$9955,MATCH($A174,ESLData!$B$1:$B$9955,0)))</f>
        <v>Occupational Therapy</v>
      </c>
    </row>
    <row r="175" spans="1:11" s="368" customFormat="1" ht="14.25" customHeight="1" x14ac:dyDescent="0.2">
      <c r="A175" s="364">
        <v>33470</v>
      </c>
      <c r="C175" s="363">
        <f>HLOOKUP("start",ESLData!E$1:E$9955,MATCH($A175,ESLData!$B$1:$B$9955,0))</f>
        <v>37485.51</v>
      </c>
      <c r="E175" s="363">
        <f>HLOOKUP("start",ESLData!F$1:F$9955,MATCH($A175,ESLData!$B$1:$B$9955,0))</f>
        <v>39000</v>
      </c>
      <c r="G175" s="363">
        <f>HLOOKUP("start",ESLData!H$1:H$9955,MATCH($A175,ESLData!$B$1:$B$9955,0))</f>
        <v>38961.01</v>
      </c>
      <c r="J175" s="382" t="s">
        <v>1304</v>
      </c>
      <c r="K175" s="368" t="str">
        <f>IF(ISNA(HLOOKUP("start",ESLData!C$1:C$9955,MATCH($A175,ESLData!$B$1:$B$9955,0))),"",HLOOKUP("start",ESLData!C$1:C$9955,MATCH($A175,ESLData!$B$1:$B$9955,0)))</f>
        <v>Physiotheraphy</v>
      </c>
    </row>
    <row r="176" spans="1:11" s="368" customFormat="1" ht="14.25" customHeight="1" x14ac:dyDescent="0.2">
      <c r="A176" s="364">
        <v>33500</v>
      </c>
      <c r="C176" s="363">
        <f>HLOOKUP("start",ESLData!E$1:E$9955,MATCH($A176,ESLData!$B$1:$B$9955,0))</f>
        <v>21174.92</v>
      </c>
      <c r="E176" s="363">
        <f>HLOOKUP("start",ESLData!F$1:F$9955,MATCH($A176,ESLData!$B$1:$B$9955,0))</f>
        <v>42200</v>
      </c>
      <c r="G176" s="363">
        <f>HLOOKUP("start",ESLData!H$1:H$9955,MATCH($A176,ESLData!$B$1:$B$9955,0))</f>
        <v>6519.59</v>
      </c>
      <c r="J176" s="382" t="s">
        <v>1304</v>
      </c>
      <c r="K176" s="368" t="str">
        <f>IF(ISNA(HLOOKUP("start",ESLData!C$1:C$9955,MATCH($A176,ESLData!$B$1:$B$9955,0))),"",HLOOKUP("start",ESLData!C$1:C$9955,MATCH($A176,ESLData!$B$1:$B$9955,0)))</f>
        <v>Orientation &amp; Mobility-School</v>
      </c>
    </row>
    <row r="177" spans="1:11" s="368" customFormat="1" ht="14.25" customHeight="1" x14ac:dyDescent="0.2">
      <c r="A177" s="364">
        <v>33480</v>
      </c>
      <c r="C177" s="363">
        <f>HLOOKUP("start",ESLData!E$1:E$9955,MATCH($A177,ESLData!$B$1:$B$9955,0))</f>
        <v>1460.9</v>
      </c>
      <c r="E177" s="363">
        <f>HLOOKUP("start",ESLData!F$1:F$9955,MATCH($A177,ESLData!$B$1:$B$9955,0))</f>
        <v>2000</v>
      </c>
      <c r="F177" s="403"/>
      <c r="G177" s="363">
        <f>HLOOKUP("start",ESLData!H$1:H$9955,MATCH($A177,ESLData!$B$1:$B$9955,0))</f>
        <v>1911.12</v>
      </c>
      <c r="J177" s="382" t="s">
        <v>1304</v>
      </c>
      <c r="K177" s="368" t="str">
        <f>IF(ISNA(HLOOKUP("start",ESLData!C$1:C$9955,MATCH($A177,ESLData!$B$1:$B$9955,0))),"",HLOOKUP("start",ESLData!C$1:C$9955,MATCH($A177,ESLData!$B$1:$B$9955,0)))</f>
        <v>Riding For Disabled</v>
      </c>
    </row>
    <row r="178" spans="1:11" s="368" customFormat="1" ht="14.25" customHeight="1" x14ac:dyDescent="0.2">
      <c r="A178" s="364">
        <v>33525</v>
      </c>
      <c r="C178" s="363">
        <f>HLOOKUP("start",ESLData!E$1:E$9955,MATCH($A178,ESLData!$B$1:$B$9955,0))</f>
        <v>40830.120000000003</v>
      </c>
      <c r="D178" s="369"/>
      <c r="E178" s="363">
        <f>HLOOKUP("start",ESLData!F$1:F$9955,MATCH($A178,ESLData!$B$1:$B$9955,0))</f>
        <v>42770</v>
      </c>
      <c r="F178" s="369"/>
      <c r="G178" s="363">
        <f>HLOOKUP("start",ESLData!H$1:H$9955,MATCH($A178,ESLData!$B$1:$B$9955,0))</f>
        <v>41139.94</v>
      </c>
      <c r="H178" s="369"/>
      <c r="J178" s="382" t="s">
        <v>1304</v>
      </c>
      <c r="K178" s="368" t="str">
        <f>IF(ISNA(HLOOKUP("start",ESLData!C$1:C$9955,MATCH($A178,ESLData!$B$1:$B$9955,0))),"",HLOOKUP("start",ESLData!C$1:C$9955,MATCH($A178,ESLData!$B$1:$B$9955,0)))</f>
        <v>Music Therapist</v>
      </c>
    </row>
    <row r="179" spans="1:11" s="368" customFormat="1" ht="14.25" customHeight="1" x14ac:dyDescent="0.2">
      <c r="A179" s="364">
        <v>33512</v>
      </c>
      <c r="C179" s="363">
        <f>HLOOKUP("start",ESLData!E$1:E$9955,MATCH($A179,ESLData!$B$1:$B$9955,0))</f>
        <v>0</v>
      </c>
      <c r="D179" s="369"/>
      <c r="E179" s="363">
        <f>HLOOKUP("start",ESLData!F$1:F$9955,MATCH($A179,ESLData!$B$1:$B$9955,0))</f>
        <v>0</v>
      </c>
      <c r="F179" s="369"/>
      <c r="G179" s="363">
        <f>HLOOKUP("start",ESLData!H$1:H$9955,MATCH($A179,ESLData!$B$1:$B$9955,0))</f>
        <v>2269.56</v>
      </c>
      <c r="H179" s="369"/>
      <c r="J179" s="382" t="s">
        <v>1304</v>
      </c>
      <c r="K179" s="368" t="str">
        <f>IF(ISNA(HLOOKUP("start",ESLData!C$1:C$9955,MATCH($A179,ESLData!$B$1:$B$9955,0))),"",HLOOKUP("start",ESLData!C$1:C$9955,MATCH($A179,ESLData!$B$1:$B$9955,0)))</f>
        <v>Psychologist Support From Gse</v>
      </c>
    </row>
    <row r="180" spans="1:11" s="368" customFormat="1" ht="14.25" customHeight="1" x14ac:dyDescent="0.2">
      <c r="A180" s="364">
        <v>33520</v>
      </c>
      <c r="C180" s="363">
        <f>HLOOKUP("start",ESLData!E$1:E$9955,MATCH($A180,ESLData!$B$1:$B$9955,0))</f>
        <v>5175</v>
      </c>
      <c r="E180" s="363">
        <f>HLOOKUP("start",ESLData!F$1:F$9955,MATCH($A180,ESLData!$B$1:$B$9955,0))</f>
        <v>5000</v>
      </c>
      <c r="G180" s="363">
        <f>HLOOKUP("start",ESLData!H$1:H$9955,MATCH($A180,ESLData!$B$1:$B$9955,0))</f>
        <v>4713.0200000000004</v>
      </c>
      <c r="J180" s="382" t="s">
        <v>1304</v>
      </c>
      <c r="K180" s="368" t="str">
        <f>IF(ISNA(HLOOKUP("start",ESLData!C$1:C$9955,MATCH($A180,ESLData!$B$1:$B$9955,0))),"",HLOOKUP("start",ESLData!C$1:C$9955,MATCH($A180,ESLData!$B$1:$B$9955,0)))</f>
        <v>Braille Music</v>
      </c>
    </row>
    <row r="181" spans="1:11" s="368" customFormat="1" ht="14.25" customHeight="1" x14ac:dyDescent="0.2">
      <c r="A181" s="364">
        <v>33610</v>
      </c>
      <c r="C181" s="363">
        <f>HLOOKUP("start",ESLData!E$1:E$9955,MATCH($A181,ESLData!$B$1:$B$9955,0))</f>
        <v>319.27</v>
      </c>
      <c r="E181" s="363">
        <f>HLOOKUP("start",ESLData!F$1:F$9955,MATCH($A181,ESLData!$B$1:$B$9955,0))</f>
        <v>3000</v>
      </c>
      <c r="G181" s="363">
        <f>HLOOKUP("start",ESLData!H$1:H$9955,MATCH($A181,ESLData!$B$1:$B$9955,0))</f>
        <v>273.5</v>
      </c>
      <c r="J181" s="382" t="s">
        <v>1304</v>
      </c>
      <c r="K181" s="368" t="str">
        <f>IF(ISNA(HLOOKUP("start",ESLData!C$1:C$9955,MATCH($A181,ESLData!$B$1:$B$9955,0))),"",HLOOKUP("start",ESLData!C$1:C$9955,MATCH($A181,ESLData!$B$1:$B$9955,0)))</f>
        <v>Food Programme Costs</v>
      </c>
    </row>
    <row r="182" spans="1:11" s="368" customFormat="1" ht="14.25" customHeight="1" x14ac:dyDescent="0.2">
      <c r="A182" s="364">
        <v>33290</v>
      </c>
      <c r="C182" s="363">
        <f>HLOOKUP("start",ESLData!E$1:E$9955,MATCH($A182,ESLData!$B$1:$B$9955,0))</f>
        <v>0</v>
      </c>
      <c r="E182" s="363">
        <f>HLOOKUP("start",ESLData!F$1:F$9955,MATCH($A182,ESLData!$B$1:$B$9955,0))</f>
        <v>300</v>
      </c>
      <c r="G182" s="363">
        <f>HLOOKUP("start",ESLData!H$1:H$9955,MATCH($A182,ESLData!$B$1:$B$9955,0))</f>
        <v>20</v>
      </c>
      <c r="J182" s="382" t="s">
        <v>1304</v>
      </c>
      <c r="K182" s="368" t="str">
        <f>IF(ISNA(HLOOKUP("start",ESLData!C$1:C$9955,MATCH($A182,ESLData!$B$1:$B$9955,0))),"",HLOOKUP("start",ESLData!C$1:C$9955,MATCH($A182,ESLData!$B$1:$B$9955,0)))</f>
        <v>Tactile Production</v>
      </c>
    </row>
    <row r="183" spans="1:11" s="368" customFormat="1" ht="14.25" customHeight="1" x14ac:dyDescent="0.2">
      <c r="A183" s="364">
        <v>33565</v>
      </c>
      <c r="C183" s="363">
        <f>HLOOKUP("start",ESLData!E$1:E$9955,MATCH($A183,ESLData!$B$1:$B$9955,0))</f>
        <v>1378.44</v>
      </c>
      <c r="E183" s="363">
        <f>HLOOKUP("start",ESLData!F$1:F$9955,MATCH($A183,ESLData!$B$1:$B$9955,0))</f>
        <v>4500</v>
      </c>
      <c r="G183" s="363">
        <f>HLOOKUP("start",ESLData!H$1:H$9955,MATCH($A183,ESLData!$B$1:$B$9955,0))</f>
        <v>0</v>
      </c>
      <c r="J183" s="382" t="s">
        <v>1304</v>
      </c>
      <c r="K183" s="368" t="str">
        <f>IF(ISNA(HLOOKUP("start",ESLData!C$1:C$9955,MATCH($A183,ESLData!$B$1:$B$9955,0))),"",HLOOKUP("start",ESLData!C$1:C$9955,MATCH($A183,ESLData!$B$1:$B$9955,0)))</f>
        <v>Consumables - Transition Programme</v>
      </c>
    </row>
    <row r="184" spans="1:11" s="368" customFormat="1" ht="14.25" customHeight="1" x14ac:dyDescent="0.2">
      <c r="A184" s="364">
        <v>33540</v>
      </c>
      <c r="C184" s="363">
        <f>HLOOKUP("start",ESLData!E$1:E$9955,MATCH($A184,ESLData!$B$1:$B$9955,0))</f>
        <v>133.37</v>
      </c>
      <c r="E184" s="363">
        <f>HLOOKUP("start",ESLData!F$1:F$9955,MATCH($A184,ESLData!$B$1:$B$9955,0))</f>
        <v>500</v>
      </c>
      <c r="G184" s="363">
        <f>HLOOKUP("start",ESLData!H$1:H$9955,MATCH($A184,ESLData!$B$1:$B$9955,0))</f>
        <v>300</v>
      </c>
      <c r="J184" s="382" t="s">
        <v>1304</v>
      </c>
      <c r="K184" s="368" t="str">
        <f>IF(ISNA(HLOOKUP("start",ESLData!C$1:C$9955,MATCH($A184,ESLData!$B$1:$B$9955,0))),"",HLOOKUP("start",ESLData!C$1:C$9955,MATCH($A184,ESLData!$B$1:$B$9955,0)))</f>
        <v>Interpreter Expenses</v>
      </c>
    </row>
    <row r="185" spans="1:11" s="368" customFormat="1" ht="14.25" customHeight="1" x14ac:dyDescent="0.2">
      <c r="A185" s="364">
        <v>33560</v>
      </c>
      <c r="C185" s="363">
        <f>HLOOKUP("start",ESLData!E$1:E$9955,MATCH($A185,ESLData!$B$1:$B$9955,0))</f>
        <v>1316.63</v>
      </c>
      <c r="E185" s="363">
        <f>HLOOKUP("start",ESLData!F$1:F$9955,MATCH($A185,ESLData!$B$1:$B$9955,0))</f>
        <v>5000</v>
      </c>
      <c r="G185" s="363">
        <f>HLOOKUP("start",ESLData!H$1:H$9955,MATCH($A185,ESLData!$B$1:$B$9955,0))</f>
        <v>793.64</v>
      </c>
      <c r="J185" s="382" t="s">
        <v>1304</v>
      </c>
      <c r="K185" s="368" t="str">
        <f>IF(ISNA(HLOOKUP("start",ESLData!C$1:C$9955,MATCH($A185,ESLData!$B$1:$B$9955,0))),"",HLOOKUP("start",ESLData!C$1:C$9955,MATCH($A185,ESLData!$B$1:$B$9955,0)))</f>
        <v>Student Consumables Ors</v>
      </c>
    </row>
    <row r="186" spans="1:11" s="368" customFormat="1" ht="14.25" customHeight="1" x14ac:dyDescent="0.2">
      <c r="A186" s="364">
        <v>33440</v>
      </c>
      <c r="C186" s="363">
        <f>HLOOKUP("start",ESLData!E$1:E$9955,MATCH($A186,ESLData!$B$1:$B$9955,0))</f>
        <v>1957.39</v>
      </c>
      <c r="E186" s="363">
        <f>HLOOKUP("start",ESLData!F$1:F$9955,MATCH($A186,ESLData!$B$1:$B$9955,0))</f>
        <v>2800</v>
      </c>
      <c r="G186" s="363">
        <f>HLOOKUP("start",ESLData!H$1:H$9955,MATCH($A186,ESLData!$B$1:$B$9955,0))</f>
        <v>1986.25</v>
      </c>
      <c r="J186" s="382" t="s">
        <v>1304</v>
      </c>
      <c r="K186" s="368" t="str">
        <f>IF(ISNA(HLOOKUP("start",ESLData!C$1:C$9955,MATCH($A186,ESLData!$B$1:$B$9955,0))),"",HLOOKUP("start",ESLData!C$1:C$9955,MATCH($A186,ESLData!$B$1:$B$9955,0)))</f>
        <v>Vehicle Insurance</v>
      </c>
    </row>
    <row r="187" spans="1:11" s="368" customFormat="1" ht="14.25" customHeight="1" x14ac:dyDescent="0.2">
      <c r="A187" s="364">
        <v>33400</v>
      </c>
      <c r="C187" s="363">
        <f>HLOOKUP("start",ESLData!E$1:E$9955,MATCH($A187,ESLData!$B$1:$B$9955,0))</f>
        <v>2128.98</v>
      </c>
      <c r="E187" s="363">
        <f>HLOOKUP("start",ESLData!F$1:F$9955,MATCH($A187,ESLData!$B$1:$B$9955,0))</f>
        <v>2500</v>
      </c>
      <c r="G187" s="363">
        <f>HLOOKUP("start",ESLData!H$1:H$9955,MATCH($A187,ESLData!$B$1:$B$9955,0))</f>
        <v>1498.89</v>
      </c>
      <c r="J187" s="382" t="s">
        <v>1304</v>
      </c>
      <c r="K187" s="368" t="str">
        <f>IF(ISNA(HLOOKUP("start",ESLData!C$1:C$9955,MATCH($A187,ESLData!$B$1:$B$9955,0))),"",HLOOKUP("start",ESLData!C$1:C$9955,MATCH($A187,ESLData!$B$1:$B$9955,0)))</f>
        <v>Petrol</v>
      </c>
    </row>
    <row r="188" spans="1:11" s="368" customFormat="1" ht="14.25" customHeight="1" x14ac:dyDescent="0.2">
      <c r="A188" s="364">
        <v>33410</v>
      </c>
      <c r="C188" s="363">
        <f>HLOOKUP("start",ESLData!E$1:E$9955,MATCH($A188,ESLData!$B$1:$B$9955,0))</f>
        <v>496.32</v>
      </c>
      <c r="D188" s="369"/>
      <c r="E188" s="363">
        <f>HLOOKUP("start",ESLData!F$1:F$9955,MATCH($A188,ESLData!$B$1:$B$9955,0))</f>
        <v>730</v>
      </c>
      <c r="F188" s="369"/>
      <c r="G188" s="363">
        <f>HLOOKUP("start",ESLData!H$1:H$9955,MATCH($A188,ESLData!$B$1:$B$9955,0))</f>
        <v>395.25</v>
      </c>
      <c r="J188" s="382" t="s">
        <v>1304</v>
      </c>
      <c r="K188" s="368" t="str">
        <f>IF(ISNA(HLOOKUP("start",ESLData!C$1:C$9955,MATCH($A188,ESLData!$B$1:$B$9955,0))),"",HLOOKUP("start",ESLData!C$1:C$9955,MATCH($A188,ESLData!$B$1:$B$9955,0)))</f>
        <v>Vehicle Registration</v>
      </c>
    </row>
    <row r="189" spans="1:11" s="368" customFormat="1" ht="14.25" customHeight="1" x14ac:dyDescent="0.2">
      <c r="A189" s="364">
        <v>33430</v>
      </c>
      <c r="C189" s="363">
        <f>HLOOKUP("start",ESLData!E$1:E$9955,MATCH($A189,ESLData!$B$1:$B$9955,0))</f>
        <v>6375</v>
      </c>
      <c r="E189" s="363">
        <f>HLOOKUP("start",ESLData!F$1:F$9955,MATCH($A189,ESLData!$B$1:$B$9955,0))</f>
        <v>8500</v>
      </c>
      <c r="G189" s="363">
        <f>HLOOKUP("start",ESLData!H$1:H$9955,MATCH($A189,ESLData!$B$1:$B$9955,0))</f>
        <v>6382</v>
      </c>
      <c r="J189" s="382" t="s">
        <v>1304</v>
      </c>
      <c r="K189" s="368" t="str">
        <f>IF(ISNA(HLOOKUP("start",ESLData!C$1:C$9955,MATCH($A189,ESLData!$B$1:$B$9955,0))),"",HLOOKUP("start",ESLData!C$1:C$9955,MATCH($A189,ESLData!$B$1:$B$9955,0)))</f>
        <v>Vehicle Lease</v>
      </c>
    </row>
    <row r="190" spans="1:11" s="368" customFormat="1" ht="14.25" customHeight="1" x14ac:dyDescent="0.2">
      <c r="A190" s="364">
        <v>33295</v>
      </c>
      <c r="C190" s="363">
        <f>HLOOKUP("start",ESLData!E$1:E$9955,MATCH($A190,ESLData!$B$1:$B$9955,0))</f>
        <v>0</v>
      </c>
      <c r="D190" s="369"/>
      <c r="E190" s="363">
        <f>HLOOKUP("start",ESLData!F$1:F$9955,MATCH($A190,ESLData!$B$1:$B$9955,0))</f>
        <v>200</v>
      </c>
      <c r="F190" s="369"/>
      <c r="G190" s="363">
        <f>HLOOKUP("start",ESLData!H$1:H$9955,MATCH($A190,ESLData!$B$1:$B$9955,0))</f>
        <v>0</v>
      </c>
      <c r="H190" s="369"/>
      <c r="J190" s="382" t="s">
        <v>1304</v>
      </c>
      <c r="K190" s="368" t="str">
        <f>IF(ISNA(HLOOKUP("start",ESLData!C$1:C$9955,MATCH($A190,ESLData!$B$1:$B$9955,0))),"",HLOOKUP("start",ESLData!C$1:C$9955,MATCH($A190,ESLData!$B$1:$B$9955,0)))</f>
        <v>Volunteer Expenses</v>
      </c>
    </row>
    <row r="191" spans="1:11" s="368" customFormat="1" ht="14.25" customHeight="1" x14ac:dyDescent="0.2">
      <c r="A191" s="364">
        <v>33580</v>
      </c>
      <c r="C191" s="363">
        <f>HLOOKUP("start",ESLData!E$1:E$9955,MATCH($A191,ESLData!$B$1:$B$9955,0))</f>
        <v>2752.19</v>
      </c>
      <c r="E191" s="363">
        <f>HLOOKUP("start",ESLData!F$1:F$9955,MATCH($A191,ESLData!$B$1:$B$9955,0))</f>
        <v>2500</v>
      </c>
      <c r="G191" s="363">
        <f>HLOOKUP("start",ESLData!H$1:H$9955,MATCH($A191,ESLData!$B$1:$B$9955,0))</f>
        <v>1955.59</v>
      </c>
      <c r="J191" s="382" t="s">
        <v>1304</v>
      </c>
      <c r="K191" s="368" t="str">
        <f>IF(ISNA(HLOOKUP("start",ESLData!C$1:C$9955,MATCH($A191,ESLData!$B$1:$B$9955,0))),"",HLOOKUP("start",ESLData!C$1:C$9955,MATCH($A191,ESLData!$B$1:$B$9955,0)))</f>
        <v>Rubbish Disposal - Nappies</v>
      </c>
    </row>
    <row r="192" spans="1:11" s="368" customFormat="1" ht="14.25" customHeight="1" x14ac:dyDescent="0.2">
      <c r="A192" s="364">
        <v>33590</v>
      </c>
      <c r="C192" s="363">
        <f>HLOOKUP("start",ESLData!E$1:E$9955,MATCH($A192,ESLData!$B$1:$B$9955,0))</f>
        <v>1568.51</v>
      </c>
      <c r="E192" s="363">
        <f>HLOOKUP("start",ESLData!F$1:F$9955,MATCH($A192,ESLData!$B$1:$B$9955,0))</f>
        <v>2500</v>
      </c>
      <c r="G192" s="363">
        <f>HLOOKUP("start",ESLData!H$1:H$9955,MATCH($A192,ESLData!$B$1:$B$9955,0))</f>
        <v>1378.18</v>
      </c>
      <c r="J192" s="382" t="s">
        <v>1304</v>
      </c>
      <c r="K192" s="368" t="str">
        <f>IF(ISNA(HLOOKUP("start",ESLData!C$1:C$9955,MATCH($A192,ESLData!$B$1:$B$9955,0))),"",HLOOKUP("start",ESLData!C$1:C$9955,MATCH($A192,ESLData!$B$1:$B$9955,0)))</f>
        <v>Laundry</v>
      </c>
    </row>
    <row r="193" spans="1:11" s="368" customFormat="1" ht="14.25" customHeight="1" x14ac:dyDescent="0.2">
      <c r="A193" s="364">
        <v>33600</v>
      </c>
      <c r="C193" s="363">
        <f>HLOOKUP("start",ESLData!E$1:E$9955,MATCH($A193,ESLData!$B$1:$B$9955,0))</f>
        <v>295.25</v>
      </c>
      <c r="D193" s="400">
        <f>ROUND(SUM(C173:C193),0)</f>
        <v>194001</v>
      </c>
      <c r="E193" s="363">
        <f>HLOOKUP("start",ESLData!F$1:F$9955,MATCH($A193,ESLData!$B$1:$B$9955,0))</f>
        <v>2000</v>
      </c>
      <c r="F193" s="381">
        <f>ROUND(SUM(E173:E193),0)</f>
        <v>244000</v>
      </c>
      <c r="G193" s="363">
        <f>HLOOKUP("start",ESLData!H$1:H$9955,MATCH($A193,ESLData!$B$1:$B$9955,0))</f>
        <v>367.57</v>
      </c>
      <c r="H193" s="400">
        <f>ROUND(SUM(G173:G193),0)</f>
        <v>181286</v>
      </c>
      <c r="J193" s="382" t="s">
        <v>1304</v>
      </c>
      <c r="K193" s="368" t="str">
        <f>IF(ISNA(HLOOKUP("start",ESLData!C$1:C$9955,MATCH($A193,ESLData!$B$1:$B$9955,0))),"",HLOOKUP("start",ESLData!C$1:C$9955,MATCH($A193,ESLData!$B$1:$B$9955,0)))</f>
        <v>General Stores</v>
      </c>
    </row>
    <row r="194" spans="1:11" s="368" customFormat="1" ht="14.25" customHeight="1" x14ac:dyDescent="0.2">
      <c r="A194" s="367" t="s">
        <v>1285</v>
      </c>
      <c r="C194" s="363"/>
      <c r="E194" s="363"/>
      <c r="G194" s="363"/>
      <c r="J194" s="382" t="s">
        <v>1304</v>
      </c>
      <c r="K194" s="368" t="str">
        <f>IF(ISNA(HLOOKUP("start",ESLData!C$1:C$9955,MATCH($A194,ESLData!$B$1:$B$9955,0))),"",HLOOKUP("start",ESLData!C$1:C$9955,MATCH($A194,ESLData!$B$1:$B$9955,0)))</f>
        <v/>
      </c>
    </row>
    <row r="195" spans="1:11" s="368" customFormat="1" ht="14.25" customHeight="1" x14ac:dyDescent="0.2">
      <c r="A195" s="364">
        <v>33420</v>
      </c>
      <c r="C195" s="363">
        <f>HLOOKUP("start",ESLData!E$1:E$9955,MATCH($A195,ESLData!$B$1:$B$9955,0))</f>
        <v>1800.97</v>
      </c>
      <c r="D195" s="400">
        <f>ROUND(C195,0)</f>
        <v>1801</v>
      </c>
      <c r="E195" s="363">
        <f>HLOOKUP("start",ESLData!F$1:F$9955,MATCH($A195,ESLData!$B$1:$B$9955,0))</f>
        <v>1000</v>
      </c>
      <c r="F195" s="381">
        <f>ROUND(E195,0)</f>
        <v>1000</v>
      </c>
      <c r="G195" s="363">
        <f>HLOOKUP("start",ESLData!H$1:H$9955,MATCH($A195,ESLData!$B$1:$B$9955,0))</f>
        <v>829.03</v>
      </c>
      <c r="H195" s="400">
        <f>ROUND(G195,0)</f>
        <v>829</v>
      </c>
      <c r="J195" s="382" t="s">
        <v>1304</v>
      </c>
      <c r="K195" s="368" t="str">
        <f>IF(ISNA(HLOOKUP("start",ESLData!C$1:C$9955,MATCH($A195,ESLData!$B$1:$B$9955,0))),"",HLOOKUP("start",ESLData!C$1:C$9955,MATCH($A195,ESLData!$B$1:$B$9955,0)))</f>
        <v>Vehicle R&amp;M</v>
      </c>
    </row>
    <row r="196" spans="1:11" s="368" customFormat="1" ht="14.25" customHeight="1" x14ac:dyDescent="0.2">
      <c r="A196" s="367" t="s">
        <v>601</v>
      </c>
      <c r="C196" s="363"/>
      <c r="E196" s="363"/>
      <c r="G196" s="363"/>
      <c r="J196" s="382" t="s">
        <v>1304</v>
      </c>
      <c r="K196" s="368" t="str">
        <f>IF(ISNA(HLOOKUP("start",ESLData!C$1:C$9955,MATCH($A196,ESLData!$B$1:$B$9955,0))),"",HLOOKUP("start",ESLData!C$1:C$9955,MATCH($A196,ESLData!$B$1:$B$9955,0)))</f>
        <v/>
      </c>
    </row>
    <row r="197" spans="1:11" s="368" customFormat="1" ht="14.25" customHeight="1" x14ac:dyDescent="0.2">
      <c r="A197" s="364">
        <v>33010</v>
      </c>
      <c r="C197" s="363">
        <f>HLOOKUP("start",ESLData!E$1:E$9955,MATCH($A197,ESLData!$B$1:$B$9955,0))</f>
        <v>251959.55</v>
      </c>
      <c r="E197" s="363">
        <f>HLOOKUP("start",ESLData!F$1:F$9955,MATCH($A197,ESLData!$B$1:$B$9955,0))</f>
        <v>260237</v>
      </c>
      <c r="G197" s="363">
        <f>HLOOKUP("start",ESLData!H$1:H$9955,MATCH($A197,ESLData!$B$1:$B$9955,0))</f>
        <v>218243.33</v>
      </c>
      <c r="J197" s="382" t="s">
        <v>1304</v>
      </c>
      <c r="K197" s="368" t="str">
        <f>IF(ISNA(HLOOKUP("start",ESLData!C$1:C$9955,MATCH($A197,ESLData!$B$1:$B$9955,0))),"",HLOOKUP("start",ESLData!C$1:C$9955,MATCH($A197,ESLData!$B$1:$B$9955,0)))</f>
        <v>Teacher Aides/Asst Salaries</v>
      </c>
    </row>
    <row r="198" spans="1:11" s="368" customFormat="1" ht="14.25" customHeight="1" x14ac:dyDescent="0.2">
      <c r="A198" s="364">
        <v>33020</v>
      </c>
      <c r="C198" s="363">
        <f>HLOOKUP("start",ESLData!E$1:E$9955,MATCH($A198,ESLData!$B$1:$B$9955,0))</f>
        <v>1652.17</v>
      </c>
      <c r="E198" s="363">
        <f>HLOOKUP("start",ESLData!F$1:F$9955,MATCH($A198,ESLData!$B$1:$B$9955,0))</f>
        <v>1887</v>
      </c>
      <c r="G198" s="363">
        <f>HLOOKUP("start",ESLData!H$1:H$9955,MATCH($A198,ESLData!$B$1:$B$9955,0))</f>
        <v>0</v>
      </c>
      <c r="J198" s="382" t="s">
        <v>1304</v>
      </c>
      <c r="K198" s="368" t="str">
        <f>IF(ISNA(HLOOKUP("start",ESLData!C$1:C$9955,MATCH($A198,ESLData!$B$1:$B$9955,0))),"",HLOOKUP("start",ESLData!C$1:C$9955,MATCH($A198,ESLData!$B$1:$B$9955,0)))</f>
        <v>Acc Levies</v>
      </c>
    </row>
    <row r="199" spans="1:11" s="368" customFormat="1" ht="14.25" customHeight="1" x14ac:dyDescent="0.2">
      <c r="A199" s="364">
        <v>33070</v>
      </c>
      <c r="C199" s="363">
        <f>HLOOKUP("start",ESLData!E$1:E$9955,MATCH($A199,ESLData!$B$1:$B$9955,0))</f>
        <v>52.17</v>
      </c>
      <c r="E199" s="363">
        <f>HLOOKUP("start",ESLData!F$1:F$9955,MATCH($A199,ESLData!$B$1:$B$9955,0))</f>
        <v>750</v>
      </c>
      <c r="G199" s="363">
        <f>HLOOKUP("start",ESLData!H$1:H$9955,MATCH($A199,ESLData!$B$1:$B$9955,0))</f>
        <v>129.87</v>
      </c>
      <c r="J199" s="382" t="s">
        <v>1304</v>
      </c>
      <c r="K199" s="368" t="str">
        <f>IF(ISNA(HLOOKUP("start",ESLData!C$1:C$9955,MATCH($A199,ESLData!$B$1:$B$9955,0))),"",HLOOKUP("start",ESLData!C$1:C$9955,MATCH($A199,ESLData!$B$1:$B$9955,0)))</f>
        <v>Allowances</v>
      </c>
    </row>
    <row r="200" spans="1:11" s="368" customFormat="1" ht="14.25" customHeight="1" x14ac:dyDescent="0.2">
      <c r="A200" s="364">
        <v>33285</v>
      </c>
      <c r="C200" s="363">
        <f>HLOOKUP("start",ESLData!E$1:E$9955,MATCH($A200,ESLData!$B$1:$B$9955,0))</f>
        <v>6299.89</v>
      </c>
      <c r="E200" s="363">
        <f>HLOOKUP("start",ESLData!F$1:F$9955,MATCH($A200,ESLData!$B$1:$B$9955,0))</f>
        <v>6807</v>
      </c>
      <c r="G200" s="363">
        <f>HLOOKUP("start",ESLData!H$1:H$9955,MATCH($A200,ESLData!$B$1:$B$9955,0))</f>
        <v>6265.61</v>
      </c>
      <c r="J200" s="382" t="s">
        <v>1304</v>
      </c>
      <c r="K200" s="368" t="str">
        <f>IF(ISNA(HLOOKUP("start",ESLData!C$1:C$9955,MATCH($A200,ESLData!$B$1:$B$9955,0))),"",HLOOKUP("start",ESLData!C$1:C$9955,MATCH($A200,ESLData!$B$1:$B$9955,0)))</f>
        <v>Salaries</v>
      </c>
    </row>
    <row r="201" spans="1:11" s="368" customFormat="1" ht="14.25" customHeight="1" x14ac:dyDescent="0.2">
      <c r="A201" s="364">
        <v>33040</v>
      </c>
      <c r="C201" s="363">
        <f>HLOOKUP("start",ESLData!E$1:E$9955,MATCH($A201,ESLData!$B$1:$B$9955,0))</f>
        <v>547.70000000000005</v>
      </c>
      <c r="E201" s="363">
        <f>HLOOKUP("start",ESLData!F$1:F$9955,MATCH($A201,ESLData!$B$1:$B$9955,0))</f>
        <v>500</v>
      </c>
      <c r="G201" s="363">
        <f>HLOOKUP("start",ESLData!H$1:H$9955,MATCH($A201,ESLData!$B$1:$B$9955,0))</f>
        <v>1094.48</v>
      </c>
      <c r="J201" s="382" t="s">
        <v>1304</v>
      </c>
      <c r="K201" s="368" t="str">
        <f>IF(ISNA(HLOOKUP("start",ESLData!C$1:C$9955,MATCH($A201,ESLData!$B$1:$B$9955,0))),"",HLOOKUP("start",ESLData!C$1:C$9955,MATCH($A201,ESLData!$B$1:$B$9955,0)))</f>
        <v>Recruitment/Advertising</v>
      </c>
    </row>
    <row r="202" spans="1:11" s="368" customFormat="1" ht="14.25" customHeight="1" x14ac:dyDescent="0.2">
      <c r="A202" s="364">
        <v>33015</v>
      </c>
      <c r="C202" s="363">
        <f>HLOOKUP("start",ESLData!E$1:E$9955,MATCH($A202,ESLData!$B$1:$B$9955,0))</f>
        <v>51783.23</v>
      </c>
      <c r="D202" s="400">
        <f>ROUND(SUM(C197:C202),0)</f>
        <v>312295</v>
      </c>
      <c r="E202" s="363">
        <f>HLOOKUP("start",ESLData!F$1:F$9955,MATCH($A202,ESLData!$B$1:$B$9955,0))</f>
        <v>73595</v>
      </c>
      <c r="F202" s="381">
        <f>ROUND(SUM(E197:E202),0)</f>
        <v>343776</v>
      </c>
      <c r="G202" s="363">
        <f>HLOOKUP("start",ESLData!H$1:H$9955,MATCH($A202,ESLData!$B$1:$B$9955,0))</f>
        <v>0</v>
      </c>
      <c r="H202" s="400">
        <f>ROUND(SUM(G197:G202),0)</f>
        <v>225733</v>
      </c>
      <c r="J202" s="382" t="s">
        <v>1304</v>
      </c>
      <c r="K202" s="368" t="str">
        <f>IF(ISNA(HLOOKUP("start",ESLData!C$1:C$9955,MATCH($A202,ESLData!$B$1:$B$9955,0))),"",HLOOKUP("start",ESLData!C$1:C$9955,MATCH($A202,ESLData!$B$1:$B$9955,0)))</f>
        <v>Youth Worker Salaries</v>
      </c>
    </row>
    <row r="203" spans="1:11" s="368" customFormat="1" ht="14.25" customHeight="1" x14ac:dyDescent="0.2">
      <c r="A203" s="367" t="s">
        <v>602</v>
      </c>
      <c r="C203" s="363"/>
      <c r="D203" s="380"/>
      <c r="E203" s="363"/>
      <c r="F203" s="380"/>
      <c r="G203" s="363"/>
      <c r="H203" s="380"/>
      <c r="J203" s="382" t="s">
        <v>1304</v>
      </c>
      <c r="K203" s="368" t="str">
        <f>IF(ISNA(HLOOKUP("start",ESLData!C$1:C$9955,MATCH($A203,ESLData!$B$1:$B$9955,0))),"",HLOOKUP("start",ESLData!C$1:C$9955,MATCH($A203,ESLData!$B$1:$B$9955,0)))</f>
        <v/>
      </c>
    </row>
    <row r="204" spans="1:11" s="368" customFormat="1" ht="14.25" customHeight="1" x14ac:dyDescent="0.2">
      <c r="A204" s="364">
        <v>33050</v>
      </c>
      <c r="C204" s="363">
        <f>HLOOKUP("start",ESLData!E$1:E$9955,MATCH($A204,ESLData!$B$1:$B$9955,0))</f>
        <v>351.2</v>
      </c>
      <c r="D204" s="400">
        <f>ROUND(C204,0)</f>
        <v>351</v>
      </c>
      <c r="E204" s="363">
        <f>HLOOKUP("start",ESLData!F$1:F$9955,MATCH($A204,ESLData!$B$1:$B$9955,0))</f>
        <v>1000</v>
      </c>
      <c r="F204" s="381">
        <f>ROUND(E204,0)</f>
        <v>1000</v>
      </c>
      <c r="G204" s="363">
        <f>HLOOKUP("start",ESLData!H$1:H$9955,MATCH($A204,ESLData!$B$1:$B$9955,0))</f>
        <v>210</v>
      </c>
      <c r="H204" s="400">
        <f>ROUND(G204,0)</f>
        <v>210</v>
      </c>
      <c r="J204" s="382" t="s">
        <v>1304</v>
      </c>
      <c r="K204" s="368" t="str">
        <f>IF(ISNA(HLOOKUP("start",ESLData!C$1:C$9955,MATCH($A204,ESLData!$B$1:$B$9955,0))),"",HLOOKUP("start",ESLData!C$1:C$9955,MATCH($A204,ESLData!$B$1:$B$9955,0)))</f>
        <v>Training &amp; Developemet</v>
      </c>
    </row>
    <row r="205" spans="1:11" s="368" customFormat="1" ht="14.25" customHeight="1" x14ac:dyDescent="0.2">
      <c r="A205" s="364"/>
      <c r="C205" s="363"/>
      <c r="D205" s="369"/>
      <c r="E205" s="363"/>
      <c r="F205" s="369"/>
      <c r="G205" s="363"/>
      <c r="H205" s="369"/>
      <c r="J205" s="370"/>
      <c r="K205" s="368" t="str">
        <f>IF(ISNA(HLOOKUP("start",ESLData!C$1:C$9955,MATCH($A205,ESLData!$B$1:$B$9955,0))),"",HLOOKUP("start",ESLData!C$1:C$9955,MATCH($A205,ESLData!$B$1:$B$9955,0)))</f>
        <v/>
      </c>
    </row>
    <row r="206" spans="1:11" s="379" customFormat="1" ht="14.25" customHeight="1" x14ac:dyDescent="0.2">
      <c r="A206" s="376" t="s">
        <v>1287</v>
      </c>
      <c r="B206" s="368"/>
      <c r="C206" s="363"/>
      <c r="D206" s="368"/>
      <c r="E206" s="363"/>
      <c r="F206" s="368"/>
      <c r="G206" s="363"/>
      <c r="H206" s="368"/>
      <c r="K206" s="368" t="str">
        <f>IF(ISNA(HLOOKUP("start",ESLData!C$1:C$9955,MATCH($A206,ESLData!$B$1:$B$9955,0))),"",HLOOKUP("start",ESLData!C$1:C$9955,MATCH($A206,ESLData!$B$1:$B$9955,0)))</f>
        <v/>
      </c>
    </row>
    <row r="207" spans="1:11" s="368" customFormat="1" ht="14.25" customHeight="1" x14ac:dyDescent="0.2">
      <c r="A207" s="367" t="s">
        <v>812</v>
      </c>
      <c r="C207" s="363"/>
      <c r="E207" s="363"/>
      <c r="G207" s="363"/>
      <c r="K207" s="368" t="str">
        <f>IF(ISNA(HLOOKUP("start",ESLData!C$1:C$9955,MATCH($A207,ESLData!$B$1:$B$9955,0))),"",HLOOKUP("start",ESLData!C$1:C$9955,MATCH($A207,ESLData!$B$1:$B$9955,0)))</f>
        <v/>
      </c>
    </row>
    <row r="208" spans="1:11" s="368" customFormat="1" ht="14.25" customHeight="1" x14ac:dyDescent="0.2">
      <c r="A208" s="364">
        <v>38979</v>
      </c>
      <c r="C208" s="363">
        <f>HLOOKUP("start",ESLData!E$1:E$9955,MATCH($A208,ESLData!$B$1:$B$9955,0))</f>
        <v>38.35</v>
      </c>
      <c r="E208" s="363">
        <f>HLOOKUP("start",ESLData!F$1:F$9955,MATCH($A208,ESLData!$B$1:$B$9955,0))</f>
        <v>0</v>
      </c>
      <c r="G208" s="363">
        <f>HLOOKUP("start",ESLData!H$1:H$9955,MATCH($A208,ESLData!$B$1:$B$9955,0))</f>
        <v>83.83</v>
      </c>
      <c r="J208" s="382" t="s">
        <v>1304</v>
      </c>
      <c r="K208" s="368" t="str">
        <f>IF(ISNA(HLOOKUP("start",ESLData!C$1:C$9955,MATCH($A208,ESLData!$B$1:$B$9955,0))),"",HLOOKUP("start",ESLData!C$1:C$9955,MATCH($A208,ESLData!$B$1:$B$9955,0)))</f>
        <v>Technology</v>
      </c>
    </row>
    <row r="209" spans="1:11" s="368" customFormat="1" ht="14.25" customHeight="1" x14ac:dyDescent="0.2">
      <c r="A209" s="364">
        <v>38987</v>
      </c>
      <c r="C209" s="363">
        <f>HLOOKUP("start",ESLData!E$1:E$9955,MATCH($A209,ESLData!$B$1:$B$9955,0))</f>
        <v>5.22</v>
      </c>
      <c r="E209" s="363">
        <f>HLOOKUP("start",ESLData!F$1:F$9955,MATCH($A209,ESLData!$B$1:$B$9955,0))</f>
        <v>0</v>
      </c>
      <c r="G209" s="363">
        <f>HLOOKUP("start",ESLData!H$1:H$9955,MATCH($A209,ESLData!$B$1:$B$9955,0))</f>
        <v>11.3</v>
      </c>
      <c r="J209" s="382" t="s">
        <v>1304</v>
      </c>
      <c r="K209" s="368" t="str">
        <f>IF(ISNA(HLOOKUP("start",ESLData!C$1:C$9955,MATCH($A209,ESLData!$B$1:$B$9955,0))),"",HLOOKUP("start",ESLData!C$1:C$9955,MATCH($A209,ESLData!$B$1:$B$9955,0)))</f>
        <v>Life Skills</v>
      </c>
    </row>
    <row r="210" spans="1:11" s="368" customFormat="1" ht="14.25" customHeight="1" x14ac:dyDescent="0.2">
      <c r="A210" s="364">
        <v>38010</v>
      </c>
      <c r="C210" s="363">
        <f>HLOOKUP("start",ESLData!E$1:E$9955,MATCH($A210,ESLData!$B$1:$B$9955,0))</f>
        <v>459.13</v>
      </c>
      <c r="E210" s="363">
        <f>HLOOKUP("start",ESLData!F$1:F$9955,MATCH($A210,ESLData!$B$1:$B$9955,0))</f>
        <v>2500</v>
      </c>
      <c r="G210" s="363">
        <f>HLOOKUP("start",ESLData!H$1:H$9955,MATCH($A210,ESLData!$B$1:$B$9955,0))</f>
        <v>1093.05</v>
      </c>
      <c r="J210" s="382" t="s">
        <v>1304</v>
      </c>
      <c r="K210" s="368" t="str">
        <f>IF(ISNA(HLOOKUP("start",ESLData!C$1:C$9955,MATCH($A210,ESLData!$B$1:$B$9955,0))),"",HLOOKUP("start",ESLData!C$1:C$9955,MATCH($A210,ESLData!$B$1:$B$9955,0)))</f>
        <v>Recreational Outings</v>
      </c>
    </row>
    <row r="211" spans="1:11" s="368" customFormat="1" ht="14.25" customHeight="1" x14ac:dyDescent="0.2">
      <c r="A211" s="364">
        <v>38020</v>
      </c>
      <c r="C211" s="363">
        <f>HLOOKUP("start",ESLData!E$1:E$9955,MATCH($A211,ESLData!$B$1:$B$9955,0))</f>
        <v>21083.7</v>
      </c>
      <c r="E211" s="363">
        <f>HLOOKUP("start",ESLData!F$1:F$9955,MATCH($A211,ESLData!$B$1:$B$9955,0))</f>
        <v>15000</v>
      </c>
      <c r="G211" s="363">
        <f>HLOOKUP("start",ESLData!H$1:H$9955,MATCH($A211,ESLData!$B$1:$B$9955,0))</f>
        <v>4973.29</v>
      </c>
      <c r="J211" s="382" t="s">
        <v>1304</v>
      </c>
      <c r="K211" s="368" t="str">
        <f>IF(ISNA(HLOOKUP("start",ESLData!C$1:C$9955,MATCH($A211,ESLData!$B$1:$B$9955,0))),"",HLOOKUP("start",ESLData!C$1:C$9955,MATCH($A211,ESLData!$B$1:$B$9955,0)))</f>
        <v>Student Travel - Air</v>
      </c>
    </row>
    <row r="212" spans="1:11" s="368" customFormat="1" ht="14.25" customHeight="1" x14ac:dyDescent="0.2">
      <c r="A212" s="364">
        <v>38030</v>
      </c>
      <c r="C212" s="363">
        <f>HLOOKUP("start",ESLData!E$1:E$9955,MATCH($A212,ESLData!$B$1:$B$9955,0))</f>
        <v>5354.83</v>
      </c>
      <c r="D212" s="369"/>
      <c r="E212" s="363">
        <f>HLOOKUP("start",ESLData!F$1:F$9955,MATCH($A212,ESLData!$B$1:$B$9955,0))</f>
        <v>3000</v>
      </c>
      <c r="F212" s="369"/>
      <c r="G212" s="363">
        <f>HLOOKUP("start",ESLData!H$1:H$9955,MATCH($A212,ESLData!$B$1:$B$9955,0))</f>
        <v>422.17</v>
      </c>
      <c r="H212" s="369"/>
      <c r="J212" s="382" t="s">
        <v>1304</v>
      </c>
      <c r="K212" s="368" t="str">
        <f>IF(ISNA(HLOOKUP("start",ESLData!C$1:C$9955,MATCH($A212,ESLData!$B$1:$B$9955,0))),"",HLOOKUP("start",ESLData!C$1:C$9955,MATCH($A212,ESLData!$B$1:$B$9955,0)))</f>
        <v>Student Travel - Taxis</v>
      </c>
    </row>
    <row r="213" spans="1:11" s="368" customFormat="1" ht="14.25" customHeight="1" x14ac:dyDescent="0.2">
      <c r="A213" s="364">
        <v>38370</v>
      </c>
      <c r="C213" s="363">
        <f>HLOOKUP("start",ESLData!E$1:E$9955,MATCH($A213,ESLData!$B$1:$B$9955,0))</f>
        <v>1818.28</v>
      </c>
      <c r="E213" s="363">
        <f>HLOOKUP("start",ESLData!F$1:F$9955,MATCH($A213,ESLData!$B$1:$B$9955,0))</f>
        <v>10000</v>
      </c>
      <c r="G213" s="363">
        <f>HLOOKUP("start",ESLData!H$1:H$9955,MATCH($A213,ESLData!$B$1:$B$9955,0))</f>
        <v>48.35</v>
      </c>
      <c r="J213" s="382" t="s">
        <v>1304</v>
      </c>
      <c r="K213" s="368" t="str">
        <f>IF(ISNA(HLOOKUP("start",ESLData!C$1:C$9955,MATCH($A213,ESLData!$B$1:$B$9955,0))),"",HLOOKUP("start",ESLData!C$1:C$9955,MATCH($A213,ESLData!$B$1:$B$9955,0)))</f>
        <v>Transition Programmes</v>
      </c>
    </row>
    <row r="214" spans="1:11" s="368" customFormat="1" ht="14.25" customHeight="1" x14ac:dyDescent="0.2">
      <c r="A214" s="364">
        <v>38938</v>
      </c>
      <c r="C214" s="363">
        <f>HLOOKUP("start",ESLData!E$1:E$9955,MATCH($A214,ESLData!$B$1:$B$9955,0))</f>
        <v>1360.95</v>
      </c>
      <c r="E214" s="363">
        <f>HLOOKUP("start",ESLData!F$1:F$9955,MATCH($A214,ESLData!$B$1:$B$9955,0))</f>
        <v>4000</v>
      </c>
      <c r="G214" s="363">
        <f>HLOOKUP("start",ESLData!H$1:H$9955,MATCH($A214,ESLData!$B$1:$B$9955,0))</f>
        <v>1130.5</v>
      </c>
      <c r="J214" s="382" t="s">
        <v>1304</v>
      </c>
      <c r="K214" s="368" t="str">
        <f>IF(ISNA(HLOOKUP("start",ESLData!C$1:C$9955,MATCH($A214,ESLData!$B$1:$B$9955,0))),"",HLOOKUP("start",ESLData!C$1:C$9955,MATCH($A214,ESLData!$B$1:$B$9955,0)))</f>
        <v>Educational Resources</v>
      </c>
    </row>
    <row r="215" spans="1:11" s="368" customFormat="1" ht="14.25" customHeight="1" x14ac:dyDescent="0.2">
      <c r="A215" s="364">
        <v>38945</v>
      </c>
      <c r="C215" s="363">
        <f>HLOOKUP("start",ESLData!E$1:E$9955,MATCH($A215,ESLData!$B$1:$B$9955,0))</f>
        <v>0</v>
      </c>
      <c r="E215" s="363">
        <f>HLOOKUP("start",ESLData!F$1:F$9955,MATCH($A215,ESLData!$B$1:$B$9955,0))</f>
        <v>1000</v>
      </c>
      <c r="G215" s="363">
        <f>HLOOKUP("start",ESLData!H$1:H$9955,MATCH($A215,ESLData!$B$1:$B$9955,0))</f>
        <v>149.57</v>
      </c>
      <c r="J215" s="382" t="s">
        <v>1304</v>
      </c>
      <c r="K215" s="368" t="str">
        <f>IF(ISNA(HLOOKUP("start",ESLData!C$1:C$9955,MATCH($A215,ESLData!$B$1:$B$9955,0))),"",HLOOKUP("start",ESLData!C$1:C$9955,MATCH($A215,ESLData!$B$1:$B$9955,0)))</f>
        <v>Hireage Of Facilities</v>
      </c>
    </row>
    <row r="216" spans="1:11" s="368" customFormat="1" ht="14.25" customHeight="1" x14ac:dyDescent="0.2">
      <c r="A216" s="364">
        <v>38951</v>
      </c>
      <c r="C216" s="363">
        <f>HLOOKUP("start",ESLData!E$1:E$9955,MATCH($A216,ESLData!$B$1:$B$9955,0))</f>
        <v>357.7</v>
      </c>
      <c r="E216" s="363">
        <f>HLOOKUP("start",ESLData!F$1:F$9955,MATCH($A216,ESLData!$B$1:$B$9955,0))</f>
        <v>5000</v>
      </c>
      <c r="G216" s="363">
        <f>HLOOKUP("start",ESLData!H$1:H$9955,MATCH($A216,ESLData!$B$1:$B$9955,0))</f>
        <v>0</v>
      </c>
      <c r="J216" s="382" t="s">
        <v>1304</v>
      </c>
      <c r="K216" s="368" t="str">
        <f>IF(ISNA(HLOOKUP("start",ESLData!C$1:C$9955,MATCH($A216,ESLData!$B$1:$B$9955,0))),"",HLOOKUP("start",ESLData!C$1:C$9955,MATCH($A216,ESLData!$B$1:$B$9955,0)))</f>
        <v>Emergency Course Funds</v>
      </c>
    </row>
    <row r="217" spans="1:11" s="368" customFormat="1" ht="14.25" customHeight="1" x14ac:dyDescent="0.2">
      <c r="A217" s="364">
        <v>38954</v>
      </c>
      <c r="C217" s="363">
        <f>HLOOKUP("start",ESLData!E$1:E$9955,MATCH($A217,ESLData!$B$1:$B$9955,0))</f>
        <v>10025.57</v>
      </c>
      <c r="E217" s="363">
        <f>HLOOKUP("start",ESLData!F$1:F$9955,MATCH($A217,ESLData!$B$1:$B$9955,0))</f>
        <v>24000</v>
      </c>
      <c r="G217" s="363">
        <f>HLOOKUP("start",ESLData!H$1:H$9955,MATCH($A217,ESLData!$B$1:$B$9955,0))</f>
        <v>11574.38</v>
      </c>
      <c r="J217" s="382" t="s">
        <v>1304</v>
      </c>
      <c r="K217" s="368" t="str">
        <f>IF(ISNA(HLOOKUP("start",ESLData!C$1:C$9955,MATCH($A217,ESLData!$B$1:$B$9955,0))),"",HLOOKUP("start",ESLData!C$1:C$9955,MATCH($A217,ESLData!$B$1:$B$9955,0)))</f>
        <v>Child &amp; Fam (Blind Learners)</v>
      </c>
    </row>
    <row r="218" spans="1:11" s="375" customFormat="1" ht="14.25" customHeight="1" x14ac:dyDescent="0.2">
      <c r="A218" s="364">
        <v>38956</v>
      </c>
      <c r="B218" s="368"/>
      <c r="C218" s="363">
        <f>HLOOKUP("start",ESLData!E$1:E$9955,MATCH($A218,ESLData!$B$1:$B$9955,0))</f>
        <v>0</v>
      </c>
      <c r="D218" s="368"/>
      <c r="E218" s="363">
        <f>HLOOKUP("start",ESLData!F$1:F$9955,MATCH($A218,ESLData!$B$1:$B$9955,0))</f>
        <v>0</v>
      </c>
      <c r="F218" s="368"/>
      <c r="G218" s="363">
        <f>HLOOKUP("start",ESLData!H$1:H$9955,MATCH($A218,ESLData!$B$1:$B$9955,0))</f>
        <v>0</v>
      </c>
      <c r="H218" s="368"/>
      <c r="K218" s="368" t="str">
        <f>IF(ISNA(HLOOKUP("start",ESLData!C$1:C$9955,MATCH($A218,ESLData!$B$1:$B$9955,0))),"",HLOOKUP("start",ESLData!C$1:C$9955,MATCH($A218,ESLData!$B$1:$B$9955,0)))</f>
        <v>Junior Or Inter Musicianship</v>
      </c>
    </row>
    <row r="219" spans="1:11" s="368" customFormat="1" ht="14.25" customHeight="1" x14ac:dyDescent="0.2">
      <c r="A219" s="364">
        <v>38952</v>
      </c>
      <c r="C219" s="363">
        <f>HLOOKUP("start",ESLData!E$1:E$9955,MATCH($A219,ESLData!$B$1:$B$9955,0))</f>
        <v>20662.310000000001</v>
      </c>
      <c r="E219" s="363">
        <f>HLOOKUP("start",ESLData!F$1:F$9955,MATCH($A219,ESLData!$B$1:$B$9955,0))</f>
        <v>64000</v>
      </c>
      <c r="G219" s="363">
        <f>HLOOKUP("start",ESLData!H$1:H$9955,MATCH($A219,ESLData!$B$1:$B$9955,0))</f>
        <v>20693.02</v>
      </c>
      <c r="J219" s="382" t="s">
        <v>1304</v>
      </c>
      <c r="K219" s="368" t="str">
        <f>IF(ISNA(HLOOKUP("start",ESLData!C$1:C$9955,MATCH($A219,ESLData!$B$1:$B$9955,0))),"",HLOOKUP("start",ESLData!C$1:C$9955,MATCH($A219,ESLData!$B$1:$B$9955,0)))</f>
        <v>Child &amp; Family (Early Childhoo</v>
      </c>
    </row>
    <row r="220" spans="1:11" s="368" customFormat="1" ht="14.25" customHeight="1" x14ac:dyDescent="0.2">
      <c r="A220" s="364">
        <v>38958</v>
      </c>
      <c r="C220" s="363">
        <f>HLOOKUP("start",ESLData!E$1:E$9955,MATCH($A220,ESLData!$B$1:$B$9955,0))</f>
        <v>4523.7299999999996</v>
      </c>
      <c r="E220" s="363">
        <f>HLOOKUP("start",ESLData!F$1:F$9955,MATCH($A220,ESLData!$B$1:$B$9955,0))</f>
        <v>8000</v>
      </c>
      <c r="G220" s="363">
        <f>HLOOKUP("start",ESLData!H$1:H$9955,MATCH($A220,ESLData!$B$1:$B$9955,0))</f>
        <v>33341.17</v>
      </c>
      <c r="J220" s="382" t="s">
        <v>1304</v>
      </c>
      <c r="K220" s="368" t="str">
        <f>IF(ISNA(HLOOKUP("start",ESLData!C$1:C$9955,MATCH($A220,ESLData!$B$1:$B$9955,0))),"",HLOOKUP("start",ESLData!C$1:C$9955,MATCH($A220,ESLData!$B$1:$B$9955,0)))</f>
        <v>Contingency Course</v>
      </c>
    </row>
    <row r="221" spans="1:11" s="368" customFormat="1" ht="14.25" customHeight="1" x14ac:dyDescent="0.2">
      <c r="A221" s="364">
        <v>38959</v>
      </c>
      <c r="C221" s="363">
        <f>HLOOKUP("start",ESLData!E$1:E$9955,MATCH($A221,ESLData!$B$1:$B$9955,0))</f>
        <v>9301.48</v>
      </c>
      <c r="E221" s="363">
        <f>HLOOKUP("start",ESLData!F$1:F$9955,MATCH($A221,ESLData!$B$1:$B$9955,0))</f>
        <v>10000</v>
      </c>
      <c r="G221" s="363">
        <f>HLOOKUP("start",ESLData!H$1:H$9955,MATCH($A221,ESLData!$B$1:$B$9955,0))</f>
        <v>5378.56</v>
      </c>
      <c r="J221" s="382" t="s">
        <v>1304</v>
      </c>
      <c r="K221" s="368" t="str">
        <f>IF(ISNA(HLOOKUP("start",ESLData!C$1:C$9955,MATCH($A221,ESLData!$B$1:$B$9955,0))),"",HLOOKUP("start",ESLData!C$1:C$9955,MATCH($A221,ESLData!$B$1:$B$9955,0)))</f>
        <v>Performing Arts</v>
      </c>
    </row>
    <row r="222" spans="1:11" s="368" customFormat="1" ht="14.25" customHeight="1" x14ac:dyDescent="0.2">
      <c r="A222" s="364">
        <v>38966</v>
      </c>
      <c r="C222" s="363">
        <f>HLOOKUP("start",ESLData!E$1:E$9955,MATCH($A222,ESLData!$B$1:$B$9955,0))</f>
        <v>6085.47</v>
      </c>
      <c r="E222" s="363">
        <f>HLOOKUP("start",ESLData!F$1:F$9955,MATCH($A222,ESLData!$B$1:$B$9955,0))</f>
        <v>8000</v>
      </c>
      <c r="G222" s="363">
        <f>HLOOKUP("start",ESLData!H$1:H$9955,MATCH($A222,ESLData!$B$1:$B$9955,0))</f>
        <v>6792.88</v>
      </c>
      <c r="J222" s="382" t="s">
        <v>1304</v>
      </c>
      <c r="K222" s="368" t="str">
        <f>IF(ISNA(HLOOKUP("start",ESLData!C$1:C$9955,MATCH($A222,ESLData!$B$1:$B$9955,0))),"",HLOOKUP("start",ESLData!C$1:C$9955,MATCH($A222,ESLData!$B$1:$B$9955,0)))</f>
        <v>Term 1</v>
      </c>
    </row>
    <row r="223" spans="1:11" s="368" customFormat="1" ht="14.25" customHeight="1" x14ac:dyDescent="0.2">
      <c r="A223" s="364">
        <v>38967</v>
      </c>
      <c r="C223" s="363">
        <f>HLOOKUP("start",ESLData!E$1:E$9955,MATCH($A223,ESLData!$B$1:$B$9955,0))</f>
        <v>4029.42</v>
      </c>
      <c r="E223" s="363">
        <f>HLOOKUP("start",ESLData!F$1:F$9955,MATCH($A223,ESLData!$B$1:$B$9955,0))</f>
        <v>8000</v>
      </c>
      <c r="G223" s="363">
        <f>HLOOKUP("start",ESLData!H$1:H$9955,MATCH($A223,ESLData!$B$1:$B$9955,0))</f>
        <v>2662.69</v>
      </c>
      <c r="J223" s="382" t="s">
        <v>1304</v>
      </c>
      <c r="K223" s="368" t="str">
        <f>IF(ISNA(HLOOKUP("start",ESLData!C$1:C$9955,MATCH($A223,ESLData!$B$1:$B$9955,0))),"",HLOOKUP("start",ESLData!C$1:C$9955,MATCH($A223,ESLData!$B$1:$B$9955,0)))</f>
        <v>Term 2</v>
      </c>
    </row>
    <row r="224" spans="1:11" s="368" customFormat="1" ht="14.25" customHeight="1" x14ac:dyDescent="0.2">
      <c r="A224" s="364">
        <v>38974</v>
      </c>
      <c r="C224" s="363">
        <f>HLOOKUP("start",ESLData!E$1:E$9955,MATCH($A224,ESLData!$B$1:$B$9955,0))</f>
        <v>10644.39</v>
      </c>
      <c r="E224" s="363">
        <f>HLOOKUP("start",ESLData!F$1:F$9955,MATCH($A224,ESLData!$B$1:$B$9955,0))</f>
        <v>16000</v>
      </c>
      <c r="G224" s="363">
        <f>HLOOKUP("start",ESLData!H$1:H$9955,MATCH($A224,ESLData!$B$1:$B$9955,0))</f>
        <v>6384.05</v>
      </c>
      <c r="J224" s="382" t="s">
        <v>1304</v>
      </c>
      <c r="K224" s="368" t="str">
        <f>IF(ISNA(HLOOKUP("start",ESLData!C$1:C$9955,MATCH($A224,ESLData!$B$1:$B$9955,0))),"",HLOOKUP("start",ESLData!C$1:C$9955,MATCH($A224,ESLData!$B$1:$B$9955,0)))</f>
        <v>Term 3</v>
      </c>
    </row>
    <row r="225" spans="1:11" s="368" customFormat="1" ht="14.25" customHeight="1" x14ac:dyDescent="0.2">
      <c r="A225" s="364">
        <v>38975</v>
      </c>
      <c r="C225" s="363">
        <f>HLOOKUP("start",ESLData!E$1:E$9955,MATCH($A225,ESLData!$B$1:$B$9955,0))</f>
        <v>0</v>
      </c>
      <c r="E225" s="363">
        <f>HLOOKUP("start",ESLData!F$1:F$9955,MATCH($A225,ESLData!$B$1:$B$9955,0))</f>
        <v>0</v>
      </c>
      <c r="G225" s="363">
        <f>HLOOKUP("start",ESLData!H$1:H$9955,MATCH($A225,ESLData!$B$1:$B$9955,0))</f>
        <v>0</v>
      </c>
      <c r="I225" s="380" t="s">
        <v>1302</v>
      </c>
      <c r="K225" s="368" t="str">
        <f>IF(ISNA(HLOOKUP("start",ESLData!C$1:C$9955,MATCH($A225,ESLData!$B$1:$B$9955,0))),"",HLOOKUP("start",ESLData!C$1:C$9955,MATCH($A225,ESLData!$B$1:$B$9955,0)))</f>
        <v>Recent Vision Loss</v>
      </c>
    </row>
    <row r="226" spans="1:11" s="368" customFormat="1" ht="14.25" customHeight="1" x14ac:dyDescent="0.2">
      <c r="A226" s="364">
        <v>38976</v>
      </c>
      <c r="C226" s="363">
        <f>HLOOKUP("start",ESLData!E$1:E$9955,MATCH($A226,ESLData!$B$1:$B$9955,0))</f>
        <v>23568.53</v>
      </c>
      <c r="E226" s="363">
        <f>HLOOKUP("start",ESLData!F$1:F$9955,MATCH($A226,ESLData!$B$1:$B$9955,0))</f>
        <v>24000</v>
      </c>
      <c r="G226" s="363">
        <f>HLOOKUP("start",ESLData!H$1:H$9955,MATCH($A226,ESLData!$B$1:$B$9955,0))</f>
        <v>0</v>
      </c>
      <c r="I226" s="380"/>
      <c r="J226" s="382" t="s">
        <v>1304</v>
      </c>
      <c r="K226" s="368" t="str">
        <f>IF(ISNA(HLOOKUP("start",ESLData!C$1:C$9955,MATCH($A226,ESLData!$B$1:$B$9955,0))),"",HLOOKUP("start",ESLData!C$1:C$9955,MATCH($A226,ESLData!$B$1:$B$9955,0)))</f>
        <v>Term 4</v>
      </c>
    </row>
    <row r="227" spans="1:11" s="368" customFormat="1" ht="14.25" customHeight="1" x14ac:dyDescent="0.2">
      <c r="A227" s="364">
        <v>38977</v>
      </c>
      <c r="C227" s="363">
        <f>HLOOKUP("start",ESLData!E$1:E$9955,MATCH($A227,ESLData!$B$1:$B$9955,0))</f>
        <v>0</v>
      </c>
      <c r="E227" s="363">
        <f>HLOOKUP("start",ESLData!F$1:F$9955,MATCH($A227,ESLData!$B$1:$B$9955,0))</f>
        <v>0</v>
      </c>
      <c r="G227" s="363">
        <f>HLOOKUP("start",ESLData!H$1:H$9955,MATCH($A227,ESLData!$B$1:$B$9955,0))</f>
        <v>0</v>
      </c>
      <c r="I227" s="380" t="s">
        <v>1302</v>
      </c>
      <c r="K227" s="368" t="str">
        <f>IF(ISNA(HLOOKUP("start",ESLData!C$1:C$9955,MATCH($A227,ESLData!$B$1:$B$9955,0))),"",HLOOKUP("start",ESLData!C$1:C$9955,MATCH($A227,ESLData!$B$1:$B$9955,0)))</f>
        <v>Technology For Music Comp</v>
      </c>
    </row>
    <row r="228" spans="1:11" s="368" customFormat="1" ht="14.25" customHeight="1" x14ac:dyDescent="0.2">
      <c r="A228" s="364">
        <v>38978</v>
      </c>
      <c r="C228" s="363">
        <f>HLOOKUP("start",ESLData!E$1:E$9955,MATCH($A228,ESLData!$B$1:$B$9955,0))</f>
        <v>8136.11</v>
      </c>
      <c r="E228" s="363">
        <f>HLOOKUP("start",ESLData!F$1:F$9955,MATCH($A228,ESLData!$B$1:$B$9955,0))</f>
        <v>8000</v>
      </c>
      <c r="G228" s="363">
        <f>HLOOKUP("start",ESLData!H$1:H$9955,MATCH($A228,ESLData!$B$1:$B$9955,0))</f>
        <v>0</v>
      </c>
      <c r="I228" s="380"/>
      <c r="J228" s="382" t="s">
        <v>1304</v>
      </c>
      <c r="K228" s="368" t="str">
        <f>IF(ISNA(HLOOKUP("start",ESLData!C$1:C$9955,MATCH($A228,ESLData!$B$1:$B$9955,0))),"",HLOOKUP("start",ESLData!C$1:C$9955,MATCH($A228,ESLData!$B$1:$B$9955,0)))</f>
        <v>Low Vision Year 13+</v>
      </c>
    </row>
    <row r="229" spans="1:11" s="368" customFormat="1" ht="14.25" customHeight="1" x14ac:dyDescent="0.2">
      <c r="A229" s="364">
        <v>38989</v>
      </c>
      <c r="C229" s="363">
        <f>HLOOKUP("start",ESLData!E$1:E$9955,MATCH($A229,ESLData!$B$1:$B$9955,0))</f>
        <v>24286.25</v>
      </c>
      <c r="E229" s="363">
        <f>HLOOKUP("start",ESLData!F$1:F$9955,MATCH($A229,ESLData!$B$1:$B$9955,0))</f>
        <v>32000</v>
      </c>
      <c r="G229" s="363">
        <f>HLOOKUP("start",ESLData!H$1:H$9955,MATCH($A229,ESLData!$B$1:$B$9955,0))</f>
        <v>19165.39</v>
      </c>
      <c r="I229" s="380"/>
      <c r="J229" s="382" t="s">
        <v>1304</v>
      </c>
      <c r="K229" s="368" t="str">
        <f>IF(ISNA(HLOOKUP("start",ESLData!C$1:C$9955,MATCH($A229,ESLData!$B$1:$B$9955,0))),"",HLOOKUP("start",ESLData!C$1:C$9955,MATCH($A229,ESLData!$B$1:$B$9955,0)))</f>
        <v>Braille Learners 9-12 Yrs</v>
      </c>
    </row>
    <row r="230" spans="1:11" s="368" customFormat="1" ht="14.25" customHeight="1" x14ac:dyDescent="0.2">
      <c r="A230" s="364">
        <v>38990</v>
      </c>
      <c r="C230" s="363">
        <f>HLOOKUP("start",ESLData!E$1:E$9955,MATCH($A230,ESLData!$B$1:$B$9955,0))</f>
        <v>21593.29</v>
      </c>
      <c r="E230" s="363">
        <f>HLOOKUP("start",ESLData!F$1:F$9955,MATCH($A230,ESLData!$B$1:$B$9955,0))</f>
        <v>16000</v>
      </c>
      <c r="G230" s="363">
        <f>HLOOKUP("start",ESLData!H$1:H$9955,MATCH($A230,ESLData!$B$1:$B$9955,0))</f>
        <v>17318.509999999998</v>
      </c>
      <c r="I230" s="380"/>
      <c r="J230" s="382" t="s">
        <v>1304</v>
      </c>
      <c r="K230" s="368" t="str">
        <f>IF(ISNA(HLOOKUP("start",ESLData!C$1:C$9955,MATCH($A230,ESLData!$B$1:$B$9955,0))),"",HLOOKUP("start",ESLData!C$1:C$9955,MATCH($A230,ESLData!$B$1:$B$9955,0)))</f>
        <v>Braille Learners - Life Skills</v>
      </c>
    </row>
    <row r="231" spans="1:11" s="368" customFormat="1" ht="14.25" customHeight="1" x14ac:dyDescent="0.2">
      <c r="A231" s="364">
        <v>38995</v>
      </c>
      <c r="C231" s="363">
        <f>HLOOKUP("start",ESLData!E$1:E$9955,MATCH($A231,ESLData!$B$1:$B$9955,0))</f>
        <v>0</v>
      </c>
      <c r="E231" s="363">
        <f>HLOOKUP("start",ESLData!F$1:F$9955,MATCH($A231,ESLData!$B$1:$B$9955,0))</f>
        <v>0</v>
      </c>
      <c r="G231" s="363">
        <f>HLOOKUP("start",ESLData!H$1:H$9955,MATCH($A231,ESLData!$B$1:$B$9955,0))</f>
        <v>0</v>
      </c>
      <c r="I231" s="380" t="s">
        <v>1302</v>
      </c>
      <c r="K231" s="368" t="str">
        <f>IF(ISNA(HLOOKUP("start",ESLData!C$1:C$9955,MATCH($A231,ESLData!$B$1:$B$9955,0))),"",HLOOKUP("start",ESLData!C$1:C$9955,MATCH($A231,ESLData!$B$1:$B$9955,0)))</f>
        <v>Physical Education L/Vision</v>
      </c>
    </row>
    <row r="232" spans="1:11" s="368" customFormat="1" ht="14.25" customHeight="1" x14ac:dyDescent="0.2">
      <c r="A232" s="364">
        <v>38997</v>
      </c>
      <c r="C232" s="363">
        <f>HLOOKUP("start",ESLData!E$1:E$9955,MATCH($A232,ESLData!$B$1:$B$9955,0))</f>
        <v>1097.1400000000001</v>
      </c>
      <c r="E232" s="363">
        <f>HLOOKUP("start",ESLData!F$1:F$9955,MATCH($A232,ESLData!$B$1:$B$9955,0))</f>
        <v>7000</v>
      </c>
      <c r="G232" s="363">
        <f>HLOOKUP("start",ESLData!H$1:H$9955,MATCH($A232,ESLData!$B$1:$B$9955,0))</f>
        <v>3915.33</v>
      </c>
      <c r="J232" s="382" t="s">
        <v>1304</v>
      </c>
      <c r="K232" s="368" t="str">
        <f>IF(ISNA(HLOOKUP("start",ESLData!C$1:C$9955,MATCH($A232,ESLData!$B$1:$B$9955,0))),"",HLOOKUP("start",ESLData!C$1:C$9955,MATCH($A232,ESLData!$B$1:$B$9955,0)))</f>
        <v>Pre Course Planning</v>
      </c>
    </row>
    <row r="233" spans="1:11" s="368" customFormat="1" ht="14.25" customHeight="1" x14ac:dyDescent="0.2">
      <c r="A233" s="364">
        <v>38993</v>
      </c>
      <c r="C233" s="363">
        <f>HLOOKUP("start",ESLData!E$1:E$9955,MATCH($A233,ESLData!$B$1:$B$9955,0))</f>
        <v>851.53</v>
      </c>
      <c r="E233" s="363">
        <f>HLOOKUP("start",ESLData!F$1:F$9955,MATCH($A233,ESLData!$B$1:$B$9955,0))</f>
        <v>0</v>
      </c>
      <c r="G233" s="363">
        <f>HLOOKUP("start",ESLData!H$1:H$9955,MATCH($A233,ESLData!$B$1:$B$9955,0))</f>
        <v>314.88</v>
      </c>
      <c r="I233" s="370"/>
      <c r="J233" s="382" t="s">
        <v>1304</v>
      </c>
      <c r="K233" s="368" t="str">
        <f>IF(ISNA(HLOOKUP("start",ESLData!C$1:C$9955,MATCH($A233,ESLData!$B$1:$B$9955,0))),"",HLOOKUP("start",ESLData!C$1:C$9955,MATCH($A233,ESLData!$B$1:$B$9955,0)))</f>
        <v>Literacy Jnr Br Or Duel Print</v>
      </c>
    </row>
    <row r="234" spans="1:11" s="368" customFormat="1" ht="14.25" customHeight="1" x14ac:dyDescent="0.2">
      <c r="A234" s="364">
        <v>38992</v>
      </c>
      <c r="C234" s="363">
        <f>HLOOKUP("start",ESLData!E$1:E$9955,MATCH($A234,ESLData!$B$1:$B$9955,0))</f>
        <v>18785.14</v>
      </c>
      <c r="E234" s="363">
        <f>HLOOKUP("start",ESLData!F$1:F$9955,MATCH($A234,ESLData!$B$1:$B$9955,0))</f>
        <v>20000</v>
      </c>
      <c r="G234" s="363">
        <f>HLOOKUP("start",ESLData!H$1:H$9955,MATCH($A234,ESLData!$B$1:$B$9955,0))</f>
        <v>9747.1</v>
      </c>
      <c r="J234" s="382" t="s">
        <v>1304</v>
      </c>
      <c r="K234" s="368" t="str">
        <f>IF(ISNA(HLOOKUP("start",ESLData!C$1:C$9955,MATCH($A234,ESLData!$B$1:$B$9955,0))),"",HLOOKUP("start",ESLData!C$1:C$9955,MATCH($A234,ESLData!$B$1:$B$9955,0)))</f>
        <v>School Immersion Placement</v>
      </c>
    </row>
    <row r="235" spans="1:11" s="368" customFormat="1" ht="14.25" customHeight="1" x14ac:dyDescent="0.2">
      <c r="A235" s="364">
        <v>38040</v>
      </c>
      <c r="C235" s="363">
        <f>HLOOKUP("start",ESLData!E$1:E$9955,MATCH($A235,ESLData!$B$1:$B$9955,0))</f>
        <v>467.81</v>
      </c>
      <c r="E235" s="363">
        <f>HLOOKUP("start",ESLData!F$1:F$9955,MATCH($A235,ESLData!$B$1:$B$9955,0))</f>
        <v>0</v>
      </c>
      <c r="G235" s="363">
        <f>HLOOKUP("start",ESLData!H$1:H$9955,MATCH($A235,ESLData!$B$1:$B$9955,0))</f>
        <v>281.74</v>
      </c>
      <c r="J235" s="382" t="s">
        <v>1304</v>
      </c>
      <c r="K235" s="368" t="str">
        <f>IF(ISNA(HLOOKUP("start",ESLData!C$1:C$9955,MATCH($A235,ESLData!$B$1:$B$9955,0))),"",HLOOKUP("start",ESLData!C$1:C$9955,MATCH($A235,ESLData!$B$1:$B$9955,0)))</f>
        <v>Medical Fees</v>
      </c>
    </row>
    <row r="236" spans="1:11" s="368" customFormat="1" ht="14.25" customHeight="1" x14ac:dyDescent="0.2">
      <c r="A236" s="364">
        <v>38095</v>
      </c>
      <c r="C236" s="363">
        <f>HLOOKUP("start",ESLData!E$1:E$9955,MATCH($A236,ESLData!$B$1:$B$9955,0))</f>
        <v>0</v>
      </c>
      <c r="E236" s="363">
        <f>HLOOKUP("start",ESLData!F$1:F$9955,MATCH($A236,ESLData!$B$1:$B$9955,0))</f>
        <v>1500</v>
      </c>
      <c r="G236" s="363">
        <f>HLOOKUP("start",ESLData!H$1:H$9955,MATCH($A236,ESLData!$B$1:$B$9955,0))</f>
        <v>225.32</v>
      </c>
      <c r="J236" s="382" t="s">
        <v>1304</v>
      </c>
      <c r="K236" s="368" t="str">
        <f>IF(ISNA(HLOOKUP("start",ESLData!C$1:C$9955,MATCH($A236,ESLData!$B$1:$B$9955,0))),"",HLOOKUP("start",ESLData!C$1:C$9955,MATCH($A236,ESLData!$B$1:$B$9955,0)))</f>
        <v>Software Expenses</v>
      </c>
    </row>
    <row r="237" spans="1:11" s="368" customFormat="1" ht="14.25" customHeight="1" x14ac:dyDescent="0.2">
      <c r="A237" s="364">
        <v>38080</v>
      </c>
      <c r="C237" s="363">
        <f>HLOOKUP("start",ESLData!E$1:E$9955,MATCH($A237,ESLData!$B$1:$B$9955,0))</f>
        <v>9769.48</v>
      </c>
      <c r="E237" s="363">
        <f>HLOOKUP("start",ESLData!F$1:F$9955,MATCH($A237,ESLData!$B$1:$B$9955,0))</f>
        <v>5000</v>
      </c>
      <c r="G237" s="363">
        <f>HLOOKUP("start",ESLData!H$1:H$9955,MATCH($A237,ESLData!$B$1:$B$9955,0))</f>
        <v>4770</v>
      </c>
      <c r="J237" s="382" t="s">
        <v>1304</v>
      </c>
      <c r="K237" s="368" t="str">
        <f>IF(ISNA(HLOOKUP("start",ESLData!C$1:C$9955,MATCH($A237,ESLData!$B$1:$B$9955,0))),"",HLOOKUP("start",ESLData!C$1:C$9955,MATCH($A237,ESLData!$B$1:$B$9955,0)))</f>
        <v>Counselling Contract</v>
      </c>
    </row>
    <row r="238" spans="1:11" s="368" customFormat="1" ht="14.25" customHeight="1" x14ac:dyDescent="0.2">
      <c r="A238" s="364">
        <v>38300</v>
      </c>
      <c r="C238" s="363">
        <f>HLOOKUP("start",ESLData!E$1:E$9955,MATCH($A238,ESLData!$B$1:$B$9955,0))</f>
        <v>5626.71</v>
      </c>
      <c r="E238" s="363">
        <f>HLOOKUP("start",ESLData!F$1:F$9955,MATCH($A238,ESLData!$B$1:$B$9955,0))</f>
        <v>6500</v>
      </c>
      <c r="G238" s="363">
        <f>HLOOKUP("start",ESLData!H$1:H$9955,MATCH($A238,ESLData!$B$1:$B$9955,0))</f>
        <v>2143.9899999999998</v>
      </c>
      <c r="J238" s="382" t="s">
        <v>1304</v>
      </c>
      <c r="K238" s="368" t="str">
        <f>IF(ISNA(HLOOKUP("start",ESLData!C$1:C$9955,MATCH($A238,ESLData!$B$1:$B$9955,0))),"",HLOOKUP("start",ESLData!C$1:C$9955,MATCH($A238,ESLData!$B$1:$B$9955,0)))</f>
        <v>Consumables</v>
      </c>
    </row>
    <row r="239" spans="1:11" s="368" customFormat="1" ht="14.25" customHeight="1" x14ac:dyDescent="0.2">
      <c r="A239" s="364">
        <v>38310</v>
      </c>
      <c r="C239" s="363">
        <f>HLOOKUP("start",ESLData!E$1:E$9955,MATCH($A239,ESLData!$B$1:$B$9955,0))</f>
        <v>111.95</v>
      </c>
      <c r="E239" s="363">
        <f>HLOOKUP("start",ESLData!F$1:F$9955,MATCH($A239,ESLData!$B$1:$B$9955,0))</f>
        <v>300</v>
      </c>
      <c r="G239" s="363">
        <f>HLOOKUP("start",ESLData!H$1:H$9955,MATCH($A239,ESLData!$B$1:$B$9955,0))</f>
        <v>80.7</v>
      </c>
      <c r="J239" s="382" t="s">
        <v>1304</v>
      </c>
      <c r="K239" s="368" t="str">
        <f>IF(ISNA(HLOOKUP("start",ESLData!C$1:C$9955,MATCH($A239,ESLData!$B$1:$B$9955,0))),"",HLOOKUP("start",ESLData!C$1:C$9955,MATCH($A239,ESLData!$B$1:$B$9955,0)))</f>
        <v>Photocopying</v>
      </c>
    </row>
    <row r="240" spans="1:11" s="368" customFormat="1" ht="14.25" customHeight="1" x14ac:dyDescent="0.2">
      <c r="A240" s="364">
        <v>38350</v>
      </c>
      <c r="C240" s="363">
        <f>HLOOKUP("start",ESLData!E$1:E$9955,MATCH($A240,ESLData!$B$1:$B$9955,0))</f>
        <v>3722.59</v>
      </c>
      <c r="D240" s="369"/>
      <c r="E240" s="363">
        <f>HLOOKUP("start",ESLData!F$1:F$9955,MATCH($A240,ESLData!$B$1:$B$9955,0))</f>
        <v>2800</v>
      </c>
      <c r="F240" s="369"/>
      <c r="G240" s="363">
        <f>HLOOKUP("start",ESLData!H$1:H$9955,MATCH($A240,ESLData!$B$1:$B$9955,0))</f>
        <v>2602.2199999999998</v>
      </c>
      <c r="H240" s="369"/>
      <c r="J240" s="382" t="s">
        <v>1304</v>
      </c>
      <c r="K240" s="368" t="str">
        <f>IF(ISNA(HLOOKUP("start",ESLData!C$1:C$9955,MATCH($A240,ESLData!$B$1:$B$9955,0))),"",HLOOKUP("start",ESLData!C$1:C$9955,MATCH($A240,ESLData!$B$1:$B$9955,0)))</f>
        <v>Telephone/Tolls/Fax</v>
      </c>
    </row>
    <row r="241" spans="1:11" s="368" customFormat="1" ht="14.25" customHeight="1" x14ac:dyDescent="0.2">
      <c r="A241" s="364">
        <v>38390</v>
      </c>
      <c r="C241" s="363">
        <f>HLOOKUP("start",ESLData!E$1:E$9955,MATCH($A241,ESLData!$B$1:$B$9955,0))</f>
        <v>670.12</v>
      </c>
      <c r="D241" s="369"/>
      <c r="E241" s="363">
        <f>HLOOKUP("start",ESLData!F$1:F$9955,MATCH($A241,ESLData!$B$1:$B$9955,0))</f>
        <v>1000</v>
      </c>
      <c r="F241" s="369"/>
      <c r="G241" s="363">
        <f>HLOOKUP("start",ESLData!H$1:H$9955,MATCH($A241,ESLData!$B$1:$B$9955,0))</f>
        <v>270.04000000000002</v>
      </c>
      <c r="H241" s="369"/>
      <c r="J241" s="382" t="s">
        <v>1304</v>
      </c>
      <c r="K241" s="368" t="str">
        <f>IF(ISNA(HLOOKUP("start",ESLData!C$1:C$9955,MATCH($A241,ESLData!$B$1:$B$9955,0))),"",HLOOKUP("start",ESLData!C$1:C$9955,MATCH($A241,ESLData!$B$1:$B$9955,0)))</f>
        <v>Stationery</v>
      </c>
    </row>
    <row r="242" spans="1:11" s="368" customFormat="1" ht="14.25" customHeight="1" x14ac:dyDescent="0.2">
      <c r="A242" s="364">
        <v>38400</v>
      </c>
      <c r="C242" s="363">
        <f>HLOOKUP("start",ESLData!E$1:E$9955,MATCH($A242,ESLData!$B$1:$B$9955,0))</f>
        <v>40576.82</v>
      </c>
      <c r="E242" s="363">
        <f>HLOOKUP("start",ESLData!F$1:F$9955,MATCH($A242,ESLData!$B$1:$B$9955,0))</f>
        <v>40000</v>
      </c>
      <c r="G242" s="363">
        <f>HLOOKUP("start",ESLData!H$1:H$9955,MATCH($A242,ESLData!$B$1:$B$9955,0))</f>
        <v>19635.91</v>
      </c>
      <c r="J242" s="382" t="s">
        <v>1304</v>
      </c>
      <c r="K242" s="368" t="str">
        <f>IF(ISNA(HLOOKUP("start",ESLData!C$1:C$9955,MATCH($A242,ESLData!$B$1:$B$9955,0))),"",HLOOKUP("start",ESLData!C$1:C$9955,MATCH($A242,ESLData!$B$1:$B$9955,0)))</f>
        <v>Food</v>
      </c>
    </row>
    <row r="243" spans="1:11" s="368" customFormat="1" ht="14.25" customHeight="1" x14ac:dyDescent="0.2">
      <c r="A243" s="364">
        <v>38410</v>
      </c>
      <c r="C243" s="363">
        <f>HLOOKUP("start",ESLData!E$1:E$9955,MATCH($A243,ESLData!$B$1:$B$9955,0))</f>
        <v>556.62</v>
      </c>
      <c r="E243" s="363">
        <f>HLOOKUP("start",ESLData!F$1:F$9955,MATCH($A243,ESLData!$B$1:$B$9955,0))</f>
        <v>750</v>
      </c>
      <c r="G243" s="363">
        <f>HLOOKUP("start",ESLData!H$1:H$9955,MATCH($A243,ESLData!$B$1:$B$9955,0))</f>
        <v>387.83</v>
      </c>
      <c r="J243" s="382" t="s">
        <v>1304</v>
      </c>
      <c r="K243" s="368" t="str">
        <f>IF(ISNA(HLOOKUP("start",ESLData!C$1:C$9955,MATCH($A243,ESLData!$B$1:$B$9955,0))),"",HLOOKUP("start",ESLData!C$1:C$9955,MATCH($A243,ESLData!$B$1:$B$9955,0)))</f>
        <v>Consumables</v>
      </c>
    </row>
    <row r="244" spans="1:11" s="368" customFormat="1" ht="14.25" customHeight="1" x14ac:dyDescent="0.2">
      <c r="A244" s="364">
        <v>38600</v>
      </c>
      <c r="C244" s="363">
        <f>HLOOKUP("start",ESLData!E$1:E$9955,MATCH($A244,ESLData!$B$1:$B$9955,0))</f>
        <v>4846.5</v>
      </c>
      <c r="E244" s="363">
        <v>6462</v>
      </c>
      <c r="G244" s="363">
        <f>HLOOKUP("start",ESLData!H$1:H$9955,MATCH($A244,ESLData!$B$1:$B$9955,0))</f>
        <v>10636</v>
      </c>
      <c r="J244" s="382" t="s">
        <v>1304</v>
      </c>
      <c r="K244" s="368" t="str">
        <f>IF(ISNA(HLOOKUP("start",ESLData!C$1:C$9955,MATCH($A244,ESLData!$B$1:$B$9955,0))),"",HLOOKUP("start",ESLData!C$1:C$9955,MATCH($A244,ESLData!$B$1:$B$9955,0)))</f>
        <v>Vehicle Lease</v>
      </c>
    </row>
    <row r="245" spans="1:11" s="368" customFormat="1" ht="14.25" customHeight="1" x14ac:dyDescent="0.2">
      <c r="A245" s="364">
        <v>38610</v>
      </c>
      <c r="C245" s="363">
        <f>HLOOKUP("start",ESLData!E$1:E$9955,MATCH($A245,ESLData!$B$1:$B$9955,0))</f>
        <v>652.16999999999996</v>
      </c>
      <c r="E245" s="363">
        <f>HLOOKUP("start",ESLData!F$1:F$9955,MATCH($A245,ESLData!$B$1:$B$9955,0))</f>
        <v>950</v>
      </c>
      <c r="G245" s="363">
        <f>HLOOKUP("start",ESLData!H$1:H$9955,MATCH($A245,ESLData!$B$1:$B$9955,0))</f>
        <v>1191.76</v>
      </c>
      <c r="J245" s="382" t="s">
        <v>1304</v>
      </c>
      <c r="K245" s="368" t="str">
        <f>IF(ISNA(HLOOKUP("start",ESLData!C$1:C$9955,MATCH($A245,ESLData!$B$1:$B$9955,0))),"",HLOOKUP("start",ESLData!C$1:C$9955,MATCH($A245,ESLData!$B$1:$B$9955,0)))</f>
        <v>Vehicle Insurance</v>
      </c>
    </row>
    <row r="246" spans="1:11" s="368" customFormat="1" ht="14.25" customHeight="1" x14ac:dyDescent="0.2">
      <c r="A246" s="364">
        <v>38620</v>
      </c>
      <c r="C246" s="363">
        <f>HLOOKUP("start",ESLData!E$1:E$9955,MATCH($A246,ESLData!$B$1:$B$9955,0))</f>
        <v>806.99</v>
      </c>
      <c r="E246" s="363">
        <f>HLOOKUP("start",ESLData!F$1:F$9955,MATCH($A246,ESLData!$B$1:$B$9955,0))</f>
        <v>2500</v>
      </c>
      <c r="G246" s="363">
        <f>HLOOKUP("start",ESLData!H$1:H$9955,MATCH($A246,ESLData!$B$1:$B$9955,0))</f>
        <v>499.64</v>
      </c>
      <c r="J246" s="382" t="s">
        <v>1304</v>
      </c>
      <c r="K246" s="368" t="str">
        <f>IF(ISNA(HLOOKUP("start",ESLData!C$1:C$9955,MATCH($A246,ESLData!$B$1:$B$9955,0))),"",HLOOKUP("start",ESLData!C$1:C$9955,MATCH($A246,ESLData!$B$1:$B$9955,0)))</f>
        <v>Petrol</v>
      </c>
    </row>
    <row r="247" spans="1:11" s="368" customFormat="1" ht="14.25" customHeight="1" x14ac:dyDescent="0.2">
      <c r="A247" s="364">
        <v>38630</v>
      </c>
      <c r="C247" s="363">
        <f>HLOOKUP("start",ESLData!E$1:E$9955,MATCH($A247,ESLData!$B$1:$B$9955,0))</f>
        <v>242.14</v>
      </c>
      <c r="E247" s="363">
        <f>HLOOKUP("start",ESLData!F$1:F$9955,MATCH($A247,ESLData!$B$1:$B$9955,0))</f>
        <v>500</v>
      </c>
      <c r="G247" s="363">
        <f>HLOOKUP("start",ESLData!H$1:H$9955,MATCH($A247,ESLData!$B$1:$B$9955,0))</f>
        <v>122.48</v>
      </c>
      <c r="J247" s="382" t="s">
        <v>1304</v>
      </c>
      <c r="K247" s="368" t="str">
        <f>IF(ISNA(HLOOKUP("start",ESLData!C$1:C$9955,MATCH($A247,ESLData!$B$1:$B$9955,0))),"",HLOOKUP("start",ESLData!C$1:C$9955,MATCH($A247,ESLData!$B$1:$B$9955,0)))</f>
        <v>Vehicle Registration</v>
      </c>
    </row>
    <row r="248" spans="1:11" s="368" customFormat="1" ht="14.25" customHeight="1" x14ac:dyDescent="0.2">
      <c r="A248" s="364">
        <v>38934</v>
      </c>
      <c r="C248" s="363">
        <f>HLOOKUP("start",ESLData!E$1:E$9955,MATCH($A248,ESLData!$B$1:$B$9955,0))</f>
        <v>89.95</v>
      </c>
      <c r="E248" s="363">
        <f>HLOOKUP("start",ESLData!F$1:F$9955,MATCH($A248,ESLData!$B$1:$B$9955,0))</f>
        <v>1000</v>
      </c>
      <c r="G248" s="363">
        <f>HLOOKUP("start",ESLData!H$1:H$9955,MATCH($A248,ESLData!$B$1:$B$9955,0))</f>
        <v>86.1</v>
      </c>
      <c r="J248" s="382" t="s">
        <v>1304</v>
      </c>
      <c r="K248" s="368" t="str">
        <f>IF(ISNA(HLOOKUP("start",ESLData!C$1:C$9955,MATCH($A248,ESLData!$B$1:$B$9955,0))),"",HLOOKUP("start",ESLData!C$1:C$9955,MATCH($A248,ESLData!$B$1:$B$9955,0)))</f>
        <v>Photocopying</v>
      </c>
    </row>
    <row r="249" spans="1:11" s="368" customFormat="1" ht="14.25" customHeight="1" x14ac:dyDescent="0.2">
      <c r="A249" s="364">
        <v>38935</v>
      </c>
      <c r="C249" s="363">
        <f>HLOOKUP("start",ESLData!E$1:E$9955,MATCH($A249,ESLData!$B$1:$B$9955,0))</f>
        <v>2171.4499999999998</v>
      </c>
      <c r="E249" s="363">
        <f>HLOOKUP("start",ESLData!F$1:F$9955,MATCH($A249,ESLData!$B$1:$B$9955,0))</f>
        <v>2500</v>
      </c>
      <c r="G249" s="363">
        <f>HLOOKUP("start",ESLData!H$1:H$9955,MATCH($A249,ESLData!$B$1:$B$9955,0))</f>
        <v>2329.33</v>
      </c>
      <c r="J249" s="382" t="s">
        <v>1304</v>
      </c>
      <c r="K249" s="368" t="str">
        <f>IF(ISNA(HLOOKUP("start",ESLData!C$1:C$9955,MATCH($A249,ESLData!$B$1:$B$9955,0))),"",HLOOKUP("start",ESLData!C$1:C$9955,MATCH($A249,ESLData!$B$1:$B$9955,0)))</f>
        <v>Telephone/Tolls/Fax</v>
      </c>
    </row>
    <row r="250" spans="1:11" s="368" customFormat="1" ht="14.25" customHeight="1" x14ac:dyDescent="0.2">
      <c r="A250" s="364">
        <v>38937</v>
      </c>
      <c r="C250" s="363">
        <f>HLOOKUP("start",ESLData!E$1:E$9955,MATCH($A250,ESLData!$B$1:$B$9955,0))</f>
        <v>1609.54</v>
      </c>
      <c r="E250" s="363">
        <f>HLOOKUP("start",ESLData!F$1:F$9955,MATCH($A250,ESLData!$B$1:$B$9955,0))</f>
        <v>1500</v>
      </c>
      <c r="F250" s="381"/>
      <c r="G250" s="363">
        <f>HLOOKUP("start",ESLData!H$1:H$9955,MATCH($A250,ESLData!$B$1:$B$9955,0))</f>
        <v>938.61</v>
      </c>
      <c r="J250" s="382" t="s">
        <v>1304</v>
      </c>
      <c r="K250" s="368" t="str">
        <f>IF(ISNA(HLOOKUP("start",ESLData!C$1:C$9955,MATCH($A250,ESLData!$B$1:$B$9955,0))),"",HLOOKUP("start",ESLData!C$1:C$9955,MATCH($A250,ESLData!$B$1:$B$9955,0)))</f>
        <v>Stationery</v>
      </c>
    </row>
    <row r="251" spans="1:11" s="368" customFormat="1" ht="14.25" customHeight="1" x14ac:dyDescent="0.2">
      <c r="A251" s="364">
        <v>38939</v>
      </c>
      <c r="C251" s="363">
        <f>HLOOKUP("start",ESLData!E$1:E$9955,MATCH($A251,ESLData!$B$1:$B$9955,0))</f>
        <v>3368.96</v>
      </c>
      <c r="D251" s="400">
        <f>ROUND(SUM(C208:C251),0)</f>
        <v>269358</v>
      </c>
      <c r="E251" s="363">
        <f>HLOOKUP("start",ESLData!F$1:F$9955,MATCH($A251,ESLData!$B$1:$B$9955,0))</f>
        <v>8000</v>
      </c>
      <c r="F251" s="381">
        <f>ROUND(SUM(E208:E251),0)</f>
        <v>366762</v>
      </c>
      <c r="G251" s="363">
        <f>HLOOKUP("start",ESLData!H$1:H$9955,MATCH($A251,ESLData!$B$1:$B$9955,0))</f>
        <v>5774.05</v>
      </c>
      <c r="H251" s="400">
        <f>ROUND(SUM(G208:G251),0)</f>
        <v>197176</v>
      </c>
      <c r="J251" s="382" t="s">
        <v>1304</v>
      </c>
      <c r="K251" s="368" t="str">
        <f>IF(ISNA(HLOOKUP("start",ESLData!C$1:C$9955,MATCH($A251,ESLData!$B$1:$B$9955,0))),"",HLOOKUP("start",ESLData!C$1:C$9955,MATCH($A251,ESLData!$B$1:$B$9955,0)))</f>
        <v>Immersion  Consumables</v>
      </c>
    </row>
    <row r="252" spans="1:11" s="368" customFormat="1" ht="14.25" customHeight="1" x14ac:dyDescent="0.2">
      <c r="A252" s="367" t="s">
        <v>1285</v>
      </c>
      <c r="C252" s="363"/>
      <c r="E252" s="363"/>
      <c r="G252" s="363"/>
      <c r="H252" s="381"/>
      <c r="J252" s="382" t="s">
        <v>1304</v>
      </c>
      <c r="K252" s="368" t="str">
        <f>IF(ISNA(HLOOKUP("start",ESLData!C$1:C$9955,MATCH($A252,ESLData!$B$1:$B$9955,0))),"",HLOOKUP("start",ESLData!C$1:C$9955,MATCH($A252,ESLData!$B$1:$B$9955,0)))</f>
        <v/>
      </c>
    </row>
    <row r="253" spans="1:11" s="368" customFormat="1" ht="14.25" customHeight="1" x14ac:dyDescent="0.2">
      <c r="A253" s="364">
        <v>38640</v>
      </c>
      <c r="C253" s="363">
        <f>HLOOKUP("start",ESLData!E$1:E$9955,MATCH($A253,ESLData!$B$1:$B$9955,0))</f>
        <v>1576.13</v>
      </c>
      <c r="D253" s="369"/>
      <c r="E253" s="363">
        <f>HLOOKUP("start",ESLData!F$1:F$9955,MATCH($A253,ESLData!$B$1:$B$9955,0))</f>
        <v>1000</v>
      </c>
      <c r="F253" s="369"/>
      <c r="G253" s="363">
        <f>HLOOKUP("start",ESLData!H$1:H$9955,MATCH($A253,ESLData!$B$1:$B$9955,0))</f>
        <v>572.20000000000005</v>
      </c>
      <c r="H253" s="369"/>
      <c r="J253" s="382" t="s">
        <v>1304</v>
      </c>
      <c r="K253" s="368" t="str">
        <f>IF(ISNA(HLOOKUP("start",ESLData!C$1:C$9955,MATCH($A253,ESLData!$B$1:$B$9955,0))),"",HLOOKUP("start",ESLData!C$1:C$9955,MATCH($A253,ESLData!$B$1:$B$9955,0)))</f>
        <v>Vehicle R&amp;M</v>
      </c>
    </row>
    <row r="254" spans="1:11" s="368" customFormat="1" ht="14.25" customHeight="1" x14ac:dyDescent="0.2">
      <c r="A254" s="364">
        <v>38050</v>
      </c>
      <c r="C254" s="363">
        <f>HLOOKUP("start",ESLData!E$1:E$9955,MATCH($A254,ESLData!$B$1:$B$9955,0))</f>
        <v>214</v>
      </c>
      <c r="E254" s="363">
        <f>HLOOKUP("start",ESLData!F$1:F$9955,MATCH($A254,ESLData!$B$1:$B$9955,0))</f>
        <v>1500</v>
      </c>
      <c r="G254" s="363">
        <f>HLOOKUP("start",ESLData!H$1:H$9955,MATCH($A254,ESLData!$B$1:$B$9955,0))</f>
        <v>1640.65</v>
      </c>
      <c r="J254" s="382" t="s">
        <v>1304</v>
      </c>
      <c r="K254" s="368" t="str">
        <f>IF(ISNA(HLOOKUP("start",ESLData!C$1:C$9955,MATCH($A254,ESLData!$B$1:$B$9955,0))),"",HLOOKUP("start",ESLData!C$1:C$9955,MATCH($A254,ESLData!$B$1:$B$9955,0)))</f>
        <v>Hostels R &amp; M</v>
      </c>
    </row>
    <row r="255" spans="1:11" s="368" customFormat="1" ht="14.25" customHeight="1" x14ac:dyDescent="0.2">
      <c r="A255" s="364">
        <v>38420</v>
      </c>
      <c r="C255" s="363">
        <f>HLOOKUP("start",ESLData!E$1:E$9955,MATCH($A255,ESLData!$B$1:$B$9955,0))</f>
        <v>1353.18</v>
      </c>
      <c r="D255" s="400">
        <f>ROUND(SUM(C253:C255),0)</f>
        <v>3143</v>
      </c>
      <c r="E255" s="363">
        <f>HLOOKUP("start",ESLData!F$1:F$9955,MATCH($A255,ESLData!$B$1:$B$9955,0))</f>
        <v>2000</v>
      </c>
      <c r="F255" s="381">
        <f>ROUND(SUM(E253:E255),0)</f>
        <v>4500</v>
      </c>
      <c r="G255" s="363">
        <f>HLOOKUP("start",ESLData!H$1:H$9955,MATCH($A255,ESLData!$B$1:$B$9955,0))</f>
        <v>937.21</v>
      </c>
      <c r="H255" s="400">
        <f>ROUND(SUM(G253:G255),0)</f>
        <v>3150</v>
      </c>
      <c r="J255" s="382" t="s">
        <v>1304</v>
      </c>
      <c r="K255" s="368" t="str">
        <f>IF(ISNA(HLOOKUP("start",ESLData!C$1:C$9955,MATCH($A255,ESLData!$B$1:$B$9955,0))),"",HLOOKUP("start",ESLData!C$1:C$9955,MATCH($A255,ESLData!$B$1:$B$9955,0)))</f>
        <v>Repairs &amp; Maintenance</v>
      </c>
    </row>
    <row r="256" spans="1:11" s="368" customFormat="1" ht="14.25" customHeight="1" x14ac:dyDescent="0.2">
      <c r="A256" s="367" t="s">
        <v>601</v>
      </c>
      <c r="C256" s="363"/>
      <c r="E256" s="363"/>
      <c r="G256" s="363"/>
      <c r="J256" s="382" t="s">
        <v>1304</v>
      </c>
      <c r="K256" s="368" t="str">
        <f>IF(ISNA(HLOOKUP("start",ESLData!C$1:C$9955,MATCH($A256,ESLData!$B$1:$B$9955,0))),"",HLOOKUP("start",ESLData!C$1:C$9955,MATCH($A256,ESLData!$B$1:$B$9955,0)))</f>
        <v/>
      </c>
    </row>
    <row r="257" spans="1:11" s="368" customFormat="1" ht="14.25" customHeight="1" x14ac:dyDescent="0.2">
      <c r="A257" s="364">
        <v>38280</v>
      </c>
      <c r="C257" s="363">
        <f>HLOOKUP("start",ESLData!E$1:E$9955,MATCH($A257,ESLData!$B$1:$B$9955,0))</f>
        <v>84.43</v>
      </c>
      <c r="D257" s="369"/>
      <c r="E257" s="363">
        <f>HLOOKUP("start",ESLData!F$1:F$9955,MATCH($A257,ESLData!$B$1:$B$9955,0))</f>
        <v>300</v>
      </c>
      <c r="F257" s="369"/>
      <c r="G257" s="363">
        <f>HLOOKUP("start",ESLData!H$1:H$9955,MATCH($A257,ESLData!$B$1:$B$9955,0))</f>
        <v>0</v>
      </c>
      <c r="H257" s="369"/>
      <c r="J257" s="382" t="s">
        <v>1304</v>
      </c>
      <c r="K257" s="368" t="str">
        <f>IF(ISNA(HLOOKUP("start",ESLData!C$1:C$9955,MATCH($A257,ESLData!$B$1:$B$9955,0))),"",HLOOKUP("start",ESLData!C$1:C$9955,MATCH($A257,ESLData!$B$1:$B$9955,0)))</f>
        <v>Hostels Staff Trav Reimb</v>
      </c>
    </row>
    <row r="258" spans="1:11" s="368" customFormat="1" ht="14.25" customHeight="1" x14ac:dyDescent="0.2">
      <c r="A258" s="364">
        <v>38260</v>
      </c>
      <c r="C258" s="363">
        <f>HLOOKUP("start",ESLData!E$1:E$9955,MATCH($A258,ESLData!$B$1:$B$9955,0))</f>
        <v>14268.18</v>
      </c>
      <c r="E258" s="363">
        <f>HLOOKUP("start",ESLData!F$1:F$9955,MATCH($A258,ESLData!$B$1:$B$9955,0))</f>
        <v>1500</v>
      </c>
      <c r="G258" s="363">
        <f>HLOOKUP("start",ESLData!H$1:H$9955,MATCH($A258,ESLData!$B$1:$B$9955,0))</f>
        <v>2513.9499999999998</v>
      </c>
      <c r="J258" s="382" t="s">
        <v>1304</v>
      </c>
      <c r="K258" s="368" t="str">
        <f>IF(ISNA(HLOOKUP("start",ESLData!C$1:C$9955,MATCH($A258,ESLData!$B$1:$B$9955,0))),"",HLOOKUP("start",ESLData!C$1:C$9955,MATCH($A258,ESLData!$B$1:$B$9955,0)))</f>
        <v>Recruitment</v>
      </c>
    </row>
    <row r="259" spans="1:11" s="368" customFormat="1" ht="14.25" customHeight="1" x14ac:dyDescent="0.2">
      <c r="A259" s="364">
        <v>38933</v>
      </c>
      <c r="C259" s="363">
        <f>HLOOKUP("start",ESLData!E$1:E$9955,MATCH($A259,ESLData!$B$1:$B$9955,0))</f>
        <v>10364.83</v>
      </c>
      <c r="E259" s="363">
        <f>HLOOKUP("start",ESLData!F$1:F$9955,MATCH($A259,ESLData!$B$1:$B$9955,0))</f>
        <v>17000</v>
      </c>
      <c r="G259" s="363">
        <f>HLOOKUP("start",ESLData!H$1:H$9955,MATCH($A259,ESLData!$B$1:$B$9955,0))</f>
        <v>12421.77</v>
      </c>
      <c r="J259" s="382" t="s">
        <v>1304</v>
      </c>
      <c r="K259" s="368" t="str">
        <f>IF(ISNA(HLOOKUP("start",ESLData!C$1:C$9955,MATCH($A259,ESLData!$B$1:$B$9955,0))),"",HLOOKUP("start",ESLData!C$1:C$9955,MATCH($A259,ESLData!$B$1:$B$9955,0)))</f>
        <v>Staff Travel Reimbursement</v>
      </c>
    </row>
    <row r="260" spans="1:11" s="368" customFormat="1" ht="14.25" customHeight="1" x14ac:dyDescent="0.2">
      <c r="A260" s="364">
        <v>38220</v>
      </c>
      <c r="C260" s="363">
        <f>HLOOKUP("start",ESLData!E$1:E$9955,MATCH($A260,ESLData!$B$1:$B$9955,0))</f>
        <v>577384.34</v>
      </c>
      <c r="E260" s="363">
        <f>HLOOKUP("start",ESLData!F$1:F$9955,MATCH($A260,ESLData!$B$1:$B$9955,0))</f>
        <v>686929</v>
      </c>
      <c r="G260" s="363">
        <f>HLOOKUP("start",ESLData!H$1:H$9955,MATCH($A260,ESLData!$B$1:$B$9955,0))</f>
        <v>505118.9</v>
      </c>
      <c r="J260" s="382" t="s">
        <v>1304</v>
      </c>
      <c r="K260" s="368" t="str">
        <f>IF(ISNA(HLOOKUP("start",ESLData!C$1:C$9955,MATCH($A260,ESLData!$B$1:$B$9955,0))),"",HLOOKUP("start",ESLData!C$1:C$9955,MATCH($A260,ESLData!$B$1:$B$9955,0)))</f>
        <v>Salaries - Residential Staff</v>
      </c>
    </row>
    <row r="261" spans="1:11" s="368" customFormat="1" ht="14.25" customHeight="1" x14ac:dyDescent="0.2">
      <c r="A261" s="364">
        <v>38250</v>
      </c>
      <c r="C261" s="363">
        <f>HLOOKUP("start",ESLData!E$1:E$9955,MATCH($A261,ESLData!$B$1:$B$9955,0))</f>
        <v>2000</v>
      </c>
      <c r="E261" s="363">
        <f>HLOOKUP("start",ESLData!F$1:F$9955,MATCH($A261,ESLData!$B$1:$B$9955,0))</f>
        <v>3468</v>
      </c>
      <c r="G261" s="363">
        <f>HLOOKUP("start",ESLData!H$1:H$9955,MATCH($A261,ESLData!$B$1:$B$9955,0))</f>
        <v>1478.26</v>
      </c>
      <c r="J261" s="382" t="s">
        <v>1304</v>
      </c>
      <c r="K261" s="368" t="str">
        <f>IF(ISNA(HLOOKUP("start",ESLData!C$1:C$9955,MATCH($A261,ESLData!$B$1:$B$9955,0))),"",HLOOKUP("start",ESLData!C$1:C$9955,MATCH($A261,ESLData!$B$1:$B$9955,0)))</f>
        <v>Acc Levies</v>
      </c>
    </row>
    <row r="262" spans="1:11" s="368" customFormat="1" ht="14.25" customHeight="1" x14ac:dyDescent="0.2">
      <c r="A262" s="364">
        <v>38500</v>
      </c>
      <c r="C262" s="363">
        <f>HLOOKUP("start",ESLData!E$1:E$9955,MATCH($A262,ESLData!$B$1:$B$9955,0))</f>
        <v>50070.97</v>
      </c>
      <c r="E262" s="363">
        <f>HLOOKUP("start",ESLData!F$1:F$9955,MATCH($A262,ESLData!$B$1:$B$9955,0))</f>
        <v>52554</v>
      </c>
      <c r="G262" s="363">
        <f>HLOOKUP("start",ESLData!H$1:H$9955,MATCH($A262,ESLData!$B$1:$B$9955,0))</f>
        <v>48368.58</v>
      </c>
      <c r="J262" s="382" t="s">
        <v>1304</v>
      </c>
      <c r="K262" s="368" t="str">
        <f>IF(ISNA(HLOOKUP("start",ESLData!C$1:C$9955,MATCH($A262,ESLData!$B$1:$B$9955,0))),"",HLOOKUP("start",ESLData!C$1:C$9955,MATCH($A262,ESLData!$B$1:$B$9955,0)))</f>
        <v>Salaries</v>
      </c>
    </row>
    <row r="263" spans="1:11" s="368" customFormat="1" ht="14.25" customHeight="1" x14ac:dyDescent="0.2">
      <c r="A263" s="364">
        <v>38929</v>
      </c>
      <c r="C263" s="363">
        <f>HLOOKUP("start",ESLData!E$1:E$9955,MATCH($A263,ESLData!$B$1:$B$9955,0))</f>
        <v>15757.29</v>
      </c>
      <c r="E263" s="363">
        <f>HLOOKUP("start",ESLData!F$1:F$9955,MATCH($A263,ESLData!$B$1:$B$9955,0))</f>
        <v>54950</v>
      </c>
      <c r="F263" s="403"/>
      <c r="G263" s="363">
        <f>HLOOKUP("start",ESLData!H$1:H$9955,MATCH($A263,ESLData!$B$1:$B$9955,0))</f>
        <v>8397.67</v>
      </c>
      <c r="J263" s="382" t="s">
        <v>1304</v>
      </c>
      <c r="K263" s="368" t="str">
        <f>IF(ISNA(HLOOKUP("start",ESLData!C$1:C$9955,MATCH($A263,ESLData!$B$1:$B$9955,0))),"",HLOOKUP("start",ESLData!C$1:C$9955,MATCH($A263,ESLData!$B$1:$B$9955,0)))</f>
        <v>Contracted Staff - Curriculum</v>
      </c>
    </row>
    <row r="264" spans="1:11" s="368" customFormat="1" ht="14.25" customHeight="1" x14ac:dyDescent="0.2">
      <c r="A264" s="364">
        <v>38930</v>
      </c>
      <c r="C264" s="363">
        <f>HLOOKUP("start",ESLData!E$1:E$9955,MATCH($A264,ESLData!$B$1:$B$9955,0))</f>
        <v>142774.87</v>
      </c>
      <c r="E264" s="363">
        <f>HLOOKUP("start",ESLData!F$1:F$9955,MATCH($A264,ESLData!$B$1:$B$9955,0))</f>
        <v>226774</v>
      </c>
      <c r="G264" s="363">
        <f>HLOOKUP("start",ESLData!H$1:H$9955,MATCH($A264,ESLData!$B$1:$B$9955,0))</f>
        <v>167917.95</v>
      </c>
      <c r="J264" s="382" t="s">
        <v>1304</v>
      </c>
      <c r="K264" s="368" t="str">
        <f>IF(ISNA(HLOOKUP("start",ESLData!C$1:C$9955,MATCH($A264,ESLData!$B$1:$B$9955,0))),"",HLOOKUP("start",ESLData!C$1:C$9955,MATCH($A264,ESLData!$B$1:$B$9955,0)))</f>
        <v>Salaries - Teaching Staff</v>
      </c>
    </row>
    <row r="265" spans="1:11" s="368" customFormat="1" ht="14.25" customHeight="1" x14ac:dyDescent="0.2">
      <c r="A265" s="364">
        <v>38931</v>
      </c>
      <c r="C265" s="363">
        <f>HLOOKUP("start",ESLData!E$1:E$9955,MATCH($A265,ESLData!$B$1:$B$9955,0))</f>
        <v>956.52</v>
      </c>
      <c r="E265" s="363">
        <f>HLOOKUP("start",ESLData!F$1:F$9955,MATCH($A265,ESLData!$B$1:$B$9955,0))</f>
        <v>1140</v>
      </c>
      <c r="F265" s="403"/>
      <c r="G265" s="363">
        <f>HLOOKUP("start",ESLData!H$1:H$9955,MATCH($A265,ESLData!$B$1:$B$9955,0))</f>
        <v>1113.04</v>
      </c>
      <c r="H265" s="403"/>
      <c r="J265" s="382" t="s">
        <v>1304</v>
      </c>
      <c r="K265" s="368" t="str">
        <f>IF(ISNA(HLOOKUP("start",ESLData!C$1:C$9955,MATCH($A265,ESLData!$B$1:$B$9955,0))),"",HLOOKUP("start",ESLData!C$1:C$9955,MATCH($A265,ESLData!$B$1:$B$9955,0)))</f>
        <v>Acc</v>
      </c>
    </row>
    <row r="266" spans="1:11" s="368" customFormat="1" ht="14.25" customHeight="1" x14ac:dyDescent="0.2">
      <c r="A266" s="364">
        <v>38922</v>
      </c>
      <c r="C266" s="363">
        <f>HLOOKUP("start",ESLData!E$1:E$9955,MATCH($A266,ESLData!$B$1:$B$9955,0))</f>
        <v>620</v>
      </c>
      <c r="E266" s="363">
        <f>HLOOKUP("start",ESLData!F$1:F$9955,MATCH($A266,ESLData!$B$1:$B$9955,0))</f>
        <v>0</v>
      </c>
      <c r="G266" s="363">
        <f>HLOOKUP("start",ESLData!H$1:H$9955,MATCH($A266,ESLData!$B$1:$B$9955,0))</f>
        <v>1396.8</v>
      </c>
      <c r="J266" s="382" t="s">
        <v>1304</v>
      </c>
      <c r="K266" s="368" t="str">
        <f>IF(ISNA(HLOOKUP("start",ESLData!C$1:C$9955,MATCH($A266,ESLData!$B$1:$B$9955,0))),"",HLOOKUP("start",ESLData!C$1:C$9955,MATCH($A266,ESLData!$B$1:$B$9955,0)))</f>
        <v>Meals</v>
      </c>
    </row>
    <row r="267" spans="1:11" s="368" customFormat="1" ht="14.25" customHeight="1" x14ac:dyDescent="0.2">
      <c r="A267" s="364">
        <v>38950</v>
      </c>
      <c r="C267" s="363">
        <f>HLOOKUP("start",ESLData!E$1:E$9955,MATCH($A267,ESLData!$B$1:$B$9955,0))</f>
        <v>0</v>
      </c>
      <c r="E267" s="363">
        <f>HLOOKUP("start",ESLData!F$1:F$9955,MATCH($A267,ESLData!$B$1:$B$9955,0))</f>
        <v>0</v>
      </c>
      <c r="G267" s="363">
        <f>HLOOKUP("start",ESLData!H$1:H$9955,MATCH($A267,ESLData!$B$1:$B$9955,0))</f>
        <v>422.73</v>
      </c>
      <c r="J267" s="382" t="s">
        <v>1304</v>
      </c>
      <c r="K267" s="368" t="str">
        <f>IF(ISNA(HLOOKUP("start",ESLData!C$1:C$9955,MATCH($A267,ESLData!$B$1:$B$9955,0))),"",HLOOKUP("start",ESLData!C$1:C$9955,MATCH($A267,ESLData!$B$1:$B$9955,0)))</f>
        <v>Administration</v>
      </c>
    </row>
    <row r="268" spans="1:11" s="368" customFormat="1" ht="14.25" customHeight="1" x14ac:dyDescent="0.2">
      <c r="A268" s="364">
        <v>38957</v>
      </c>
      <c r="C268" s="363">
        <f>HLOOKUP("start",ESLData!E$1:E$9955,MATCH($A268,ESLData!$B$1:$B$9955,0))</f>
        <v>0</v>
      </c>
      <c r="D268" s="400">
        <f>ROUND(SUM(C257:C268),0)</f>
        <v>814281</v>
      </c>
      <c r="E268" s="363">
        <f>HLOOKUP("start",ESLData!F$1:F$9955,MATCH($A268,ESLData!$B$1:$B$9955,0))</f>
        <v>0</v>
      </c>
      <c r="F268" s="381">
        <f>ROUND(SUM(E257:E268),0)</f>
        <v>1044615</v>
      </c>
      <c r="G268" s="363">
        <f>HLOOKUP("start",ESLData!H$1:H$9955,MATCH($A268,ESLData!$B$1:$B$9955,0))</f>
        <v>79.27</v>
      </c>
      <c r="H268" s="400">
        <f>ROUND(SUM(G257:G268),0)</f>
        <v>749229</v>
      </c>
      <c r="J268" s="382" t="s">
        <v>1304</v>
      </c>
      <c r="K268" s="368" t="str">
        <f>IF(ISNA(HLOOKUP("start",ESLData!C$1:C$9955,MATCH($A268,ESLData!$B$1:$B$9955,0))),"",HLOOKUP("start",ESLData!C$1:C$9955,MATCH($A268,ESLData!$B$1:$B$9955,0)))</f>
        <v>Intermediate Musicianship</v>
      </c>
    </row>
    <row r="269" spans="1:11" s="368" customFormat="1" ht="14.25" customHeight="1" x14ac:dyDescent="0.2">
      <c r="A269" s="367" t="s">
        <v>602</v>
      </c>
      <c r="C269" s="363"/>
      <c r="E269" s="363"/>
      <c r="G269" s="363"/>
      <c r="J269" s="382" t="s">
        <v>1304</v>
      </c>
      <c r="K269" s="368" t="str">
        <f>IF(ISNA(HLOOKUP("start",ESLData!C$1:C$9955,MATCH($A269,ESLData!$B$1:$B$9955,0))),"",HLOOKUP("start",ESLData!C$1:C$9955,MATCH($A269,ESLData!$B$1:$B$9955,0)))</f>
        <v/>
      </c>
    </row>
    <row r="270" spans="1:11" s="368" customFormat="1" ht="14.25" customHeight="1" x14ac:dyDescent="0.2">
      <c r="A270" s="364">
        <v>38270</v>
      </c>
      <c r="C270" s="363">
        <f>HLOOKUP("start",ESLData!E$1:E$9955,MATCH($A270,ESLData!$B$1:$B$9955,0))</f>
        <v>1577.56</v>
      </c>
      <c r="E270" s="363">
        <f>HLOOKUP("start",ESLData!F$1:F$9955,MATCH($A270,ESLData!$B$1:$B$9955,0))</f>
        <v>22500</v>
      </c>
      <c r="G270" s="363">
        <f>HLOOKUP("start",ESLData!H$1:H$9955,MATCH($A270,ESLData!$B$1:$B$9955,0))</f>
        <v>3244.22</v>
      </c>
      <c r="J270" s="382" t="s">
        <v>1304</v>
      </c>
      <c r="K270" s="368" t="str">
        <f>IF(ISNA(HLOOKUP("start",ESLData!C$1:C$9955,MATCH($A270,ESLData!$B$1:$B$9955,0))),"",HLOOKUP("start",ESLData!C$1:C$9955,MATCH($A270,ESLData!$B$1:$B$9955,0)))</f>
        <v>Staff Training</v>
      </c>
    </row>
    <row r="271" spans="1:11" s="368" customFormat="1" ht="14.25" customHeight="1" x14ac:dyDescent="0.2">
      <c r="A271" s="364">
        <v>38932</v>
      </c>
      <c r="C271" s="363">
        <f>HLOOKUP("start",ESLData!E$1:E$9955,MATCH($A271,ESLData!$B$1:$B$9955,0))</f>
        <v>2712.01</v>
      </c>
      <c r="D271" s="400">
        <f>ROUND(SUM(C270:C271),0)</f>
        <v>4290</v>
      </c>
      <c r="E271" s="363">
        <f>HLOOKUP("start",ESLData!F$1:F$9955,MATCH($A271,ESLData!$B$1:$B$9955,0))</f>
        <v>3000</v>
      </c>
      <c r="F271" s="381">
        <f>ROUND(SUM(E270:E271),0)</f>
        <v>25500</v>
      </c>
      <c r="G271" s="363">
        <f>HLOOKUP("start",ESLData!H$1:H$9955,MATCH($A271,ESLData!$B$1:$B$9955,0))</f>
        <v>1265.3499999999999</v>
      </c>
      <c r="H271" s="400">
        <f>ROUND(SUM(G270:G271),0)</f>
        <v>4510</v>
      </c>
      <c r="J271" s="382" t="s">
        <v>1304</v>
      </c>
      <c r="K271" s="368" t="str">
        <f>IF(ISNA(HLOOKUP("start",ESLData!C$1:C$9955,MATCH($A271,ESLData!$B$1:$B$9955,0))),"",HLOOKUP("start",ESLData!C$1:C$9955,MATCH($A271,ESLData!$B$1:$B$9955,0)))</f>
        <v>Staff Training</v>
      </c>
    </row>
    <row r="272" spans="1:11" s="368" customFormat="1" ht="14.25" customHeight="1" x14ac:dyDescent="0.2">
      <c r="A272" s="367"/>
      <c r="C272" s="363"/>
      <c r="E272" s="363"/>
      <c r="G272" s="363"/>
      <c r="K272" s="368" t="str">
        <f>IF(ISNA(HLOOKUP("start",ESLData!C$1:C$9955,MATCH($A272,ESLData!$B$1:$B$9955,0))),"",HLOOKUP("start",ESLData!C$1:C$9955,MATCH($A272,ESLData!$B$1:$B$9955,0)))</f>
        <v/>
      </c>
    </row>
    <row r="273" spans="1:12" s="379" customFormat="1" ht="14.25" customHeight="1" x14ac:dyDescent="0.2">
      <c r="A273" s="367" t="s">
        <v>1288</v>
      </c>
      <c r="B273" s="368"/>
      <c r="C273" s="363"/>
      <c r="D273" s="368"/>
      <c r="E273" s="363"/>
      <c r="F273" s="368"/>
      <c r="G273" s="363"/>
      <c r="H273" s="368"/>
      <c r="K273" s="368" t="str">
        <f>IF(ISNA(HLOOKUP("start",ESLData!C$1:C$9955,MATCH($A273,ESLData!$B$1:$B$9955,0))),"",HLOOKUP("start",ESLData!C$1:C$9955,MATCH($A273,ESLData!$B$1:$B$9955,0)))</f>
        <v/>
      </c>
    </row>
    <row r="274" spans="1:12" s="368" customFormat="1" ht="14.25" customHeight="1" x14ac:dyDescent="0.2">
      <c r="A274" s="367" t="s">
        <v>812</v>
      </c>
      <c r="C274" s="363"/>
      <c r="E274" s="363"/>
      <c r="G274" s="363"/>
      <c r="K274" s="368" t="str">
        <f>IF(ISNA(HLOOKUP("start",ESLData!C$1:C$9955,MATCH($A274,ESLData!$B$1:$B$9955,0))),"",HLOOKUP("start",ESLData!C$1:C$9955,MATCH($A274,ESLData!$B$1:$B$9955,0)))</f>
        <v/>
      </c>
    </row>
    <row r="275" spans="1:12" s="368" customFormat="1" ht="14.25" customHeight="1" x14ac:dyDescent="0.2">
      <c r="A275" s="365">
        <v>37041</v>
      </c>
      <c r="C275" s="363">
        <f>HLOOKUP("start",ESLData!E$1:E$9955,MATCH($A275,ESLData!$B$1:$B$9955,0))</f>
        <v>1135.21</v>
      </c>
      <c r="E275" s="363">
        <f>HLOOKUP("start",ESLData!F$1:F$9955,MATCH($A275,ESLData!$B$1:$B$9955,0))</f>
        <v>0</v>
      </c>
      <c r="G275" s="363">
        <f>HLOOKUP("start",ESLData!H$1:H$9955,MATCH($A275,ESLData!$B$1:$B$9955,0))</f>
        <v>391.8</v>
      </c>
      <c r="J275" s="382" t="s">
        <v>1304</v>
      </c>
      <c r="K275" s="368" t="str">
        <f>IF(ISNA(HLOOKUP("start",ESLData!C$1:C$9955,MATCH($A275,ESLData!$B$1:$B$9955,0))),"",HLOOKUP("start",ESLData!C$1:C$9955,MATCH($A275,ESLData!$B$1:$B$9955,0)))</f>
        <v>Assessment Stock On Hand</v>
      </c>
      <c r="L275" s="369" t="e">
        <f>E275-#REF!</f>
        <v>#REF!</v>
      </c>
    </row>
    <row r="276" spans="1:12" s="368" customFormat="1" ht="14.25" customHeight="1" x14ac:dyDescent="0.2">
      <c r="A276" s="364">
        <v>37040</v>
      </c>
      <c r="C276" s="363">
        <f>HLOOKUP("start",ESLData!E$1:E$9955,MATCH($A276,ESLData!$B$1:$B$9955,0))</f>
        <v>43506.67</v>
      </c>
      <c r="E276" s="363">
        <f>HLOOKUP("start",ESLData!F$1:F$9955,MATCH($A276,ESLData!$B$1:$B$9955,0))</f>
        <v>36874</v>
      </c>
      <c r="G276" s="363">
        <f>HLOOKUP("start",ESLData!H$1:H$9955,MATCH($A276,ESLData!$B$1:$B$9955,0))</f>
        <v>37719.17</v>
      </c>
      <c r="J276" s="382" t="s">
        <v>1304</v>
      </c>
      <c r="K276" s="368" t="str">
        <f>IF(ISNA(HLOOKUP("start",ESLData!C$1:C$9955,MATCH($A276,ESLData!$B$1:$B$9955,0))),"",HLOOKUP("start",ESLData!C$1:C$9955,MATCH($A276,ESLData!$B$1:$B$9955,0)))</f>
        <v>Opthalmologist</v>
      </c>
    </row>
    <row r="277" spans="1:12" s="368" customFormat="1" ht="14.25" customHeight="1" x14ac:dyDescent="0.2">
      <c r="A277" s="364">
        <v>37050</v>
      </c>
      <c r="C277" s="363">
        <f>HLOOKUP("start",ESLData!E$1:E$9955,MATCH($A277,ESLData!$B$1:$B$9955,0))</f>
        <v>23753.7</v>
      </c>
      <c r="E277" s="363">
        <f>HLOOKUP("start",ESLData!F$1:F$9955,MATCH($A277,ESLData!$B$1:$B$9955,0))</f>
        <v>27920</v>
      </c>
      <c r="G277" s="363">
        <f>HLOOKUP("start",ESLData!H$1:H$9955,MATCH($A277,ESLData!$B$1:$B$9955,0))</f>
        <v>23895.24</v>
      </c>
      <c r="J277" s="382" t="s">
        <v>1304</v>
      </c>
      <c r="K277" s="368" t="str">
        <f>IF(ISNA(HLOOKUP("start",ESLData!C$1:C$9955,MATCH($A277,ESLData!$B$1:$B$9955,0))),"",HLOOKUP("start",ESLData!C$1:C$9955,MATCH($A277,ESLData!$B$1:$B$9955,0)))</f>
        <v>Paediatrician</v>
      </c>
    </row>
    <row r="278" spans="1:12" s="375" customFormat="1" ht="14.25" customHeight="1" x14ac:dyDescent="0.2">
      <c r="A278" s="364">
        <v>30715</v>
      </c>
      <c r="B278" s="368"/>
      <c r="C278" s="363">
        <f>HLOOKUP("start",ESLData!E$1:E$9955,MATCH($A278,ESLData!$B$1:$B$9955,0))</f>
        <v>40.65</v>
      </c>
      <c r="D278" s="369"/>
      <c r="E278" s="363">
        <f>HLOOKUP("start",ESLData!F$1:F$9955,MATCH($A278,ESLData!$B$1:$B$9955,0))</f>
        <v>0</v>
      </c>
      <c r="F278" s="369"/>
      <c r="G278" s="363">
        <f>HLOOKUP("start",ESLData!H$1:H$9955,MATCH($A278,ESLData!$B$1:$B$9955,0))</f>
        <v>0</v>
      </c>
      <c r="H278" s="369"/>
      <c r="K278" s="368" t="str">
        <f>IF(ISNA(HLOOKUP("start",ESLData!C$1:C$9955,MATCH($A278,ESLData!$B$1:$B$9955,0))),"",HLOOKUP("start",ESLData!C$1:C$9955,MATCH($A278,ESLData!$B$1:$B$9955,0)))</f>
        <v>Playground Consumables</v>
      </c>
    </row>
    <row r="279" spans="1:12" s="368" customFormat="1" ht="14.25" customHeight="1" x14ac:dyDescent="0.2">
      <c r="A279" s="364">
        <v>37060</v>
      </c>
      <c r="C279" s="363">
        <f>HLOOKUP("start",ESLData!E$1:E$9955,MATCH($A279,ESLData!$B$1:$B$9955,0))</f>
        <v>16430</v>
      </c>
      <c r="E279" s="363">
        <f>HLOOKUP("start",ESLData!F$1:F$9955,MATCH($A279,ESLData!$B$1:$B$9955,0))</f>
        <v>19500</v>
      </c>
      <c r="G279" s="363">
        <f>HLOOKUP("start",ESLData!H$1:H$9955,MATCH($A279,ESLData!$B$1:$B$9955,0))</f>
        <v>18640</v>
      </c>
      <c r="J279" s="382" t="s">
        <v>1304</v>
      </c>
      <c r="K279" s="368" t="str">
        <f>IF(ISNA(HLOOKUP("start",ESLData!C$1:C$9955,MATCH($A279,ESLData!$B$1:$B$9955,0))),"",HLOOKUP("start",ESLData!C$1:C$9955,MATCH($A279,ESLData!$B$1:$B$9955,0)))</f>
        <v>Optometrist</v>
      </c>
    </row>
    <row r="280" spans="1:12" s="368" customFormat="1" ht="14.25" customHeight="1" x14ac:dyDescent="0.2">
      <c r="A280" s="364">
        <v>37070</v>
      </c>
      <c r="C280" s="363">
        <f>HLOOKUP("start",ESLData!E$1:E$9955,MATCH($A280,ESLData!$B$1:$B$9955,0))</f>
        <v>10066.52</v>
      </c>
      <c r="E280" s="363">
        <f>HLOOKUP("start",ESLData!F$1:F$9955,MATCH($A280,ESLData!$B$1:$B$9955,0))</f>
        <v>15000</v>
      </c>
      <c r="G280" s="363">
        <f>HLOOKUP("start",ESLData!H$1:H$9955,MATCH($A280,ESLData!$B$1:$B$9955,0))</f>
        <v>13225</v>
      </c>
      <c r="J280" s="382" t="s">
        <v>1304</v>
      </c>
      <c r="K280" s="368" t="str">
        <f>IF(ISNA(HLOOKUP("start",ESLData!C$1:C$9955,MATCH($A280,ESLData!$B$1:$B$9955,0))),"",HLOOKUP("start",ESLData!C$1:C$9955,MATCH($A280,ESLData!$B$1:$B$9955,0)))</f>
        <v>Orientation &amp; Mobility</v>
      </c>
      <c r="L280" s="370" t="s">
        <v>1014</v>
      </c>
    </row>
    <row r="281" spans="1:12" s="368" customFormat="1" ht="14.25" customHeight="1" x14ac:dyDescent="0.2">
      <c r="A281" s="364">
        <v>37080</v>
      </c>
      <c r="C281" s="363">
        <f>HLOOKUP("start",ESLData!E$1:E$9955,MATCH($A281,ESLData!$B$1:$B$9955,0))</f>
        <v>13695.5</v>
      </c>
      <c r="E281" s="363">
        <f>HLOOKUP("start",ESLData!F$1:F$9955,MATCH($A281,ESLData!$B$1:$B$9955,0))</f>
        <v>16500</v>
      </c>
      <c r="G281" s="363">
        <f>HLOOKUP("start",ESLData!H$1:H$9955,MATCH($A281,ESLData!$B$1:$B$9955,0))</f>
        <v>12207.01</v>
      </c>
      <c r="J281" s="382" t="s">
        <v>1304</v>
      </c>
      <c r="K281" s="368" t="str">
        <f>IF(ISNA(HLOOKUP("start",ESLData!C$1:C$9955,MATCH($A281,ESLData!$B$1:$B$9955,0))),"",HLOOKUP("start",ESLData!C$1:C$9955,MATCH($A281,ESLData!$B$1:$B$9955,0)))</f>
        <v>Speech Language</v>
      </c>
    </row>
    <row r="282" spans="1:12" s="368" customFormat="1" ht="14.25" customHeight="1" x14ac:dyDescent="0.2">
      <c r="A282" s="364">
        <v>37085</v>
      </c>
      <c r="C282" s="363">
        <f>HLOOKUP("start",ESLData!E$1:E$9955,MATCH($A282,ESLData!$B$1:$B$9955,0))</f>
        <v>0</v>
      </c>
      <c r="E282" s="363">
        <f>HLOOKUP("start",ESLData!F$1:F$9955,MATCH($A282,ESLData!$B$1:$B$9955,0))</f>
        <v>0</v>
      </c>
      <c r="G282" s="363">
        <f>HLOOKUP("start",ESLData!H$1:H$9955,MATCH($A282,ESLData!$B$1:$B$9955,0))</f>
        <v>0</v>
      </c>
      <c r="I282" s="380" t="s">
        <v>1302</v>
      </c>
      <c r="K282" s="368" t="str">
        <f>IF(ISNA(HLOOKUP("start",ESLData!C$1:C$9955,MATCH($A282,ESLData!$B$1:$B$9955,0))),"",HLOOKUP("start",ESLData!C$1:C$9955,MATCH($A282,ESLData!$B$1:$B$9955,0)))</f>
        <v>Audiologist</v>
      </c>
    </row>
    <row r="283" spans="1:12" s="368" customFormat="1" ht="14.25" customHeight="1" x14ac:dyDescent="0.2">
      <c r="A283" s="364">
        <v>37090</v>
      </c>
      <c r="C283" s="363">
        <f>HLOOKUP("start",ESLData!E$1:E$9955,MATCH($A283,ESLData!$B$1:$B$9955,0))</f>
        <v>8438.9</v>
      </c>
      <c r="E283" s="363">
        <f>HLOOKUP("start",ESLData!F$1:F$9955,MATCH($A283,ESLData!$B$1:$B$9955,0))</f>
        <v>8000</v>
      </c>
      <c r="G283" s="363">
        <f>HLOOKUP("start",ESLData!H$1:H$9955,MATCH($A283,ESLData!$B$1:$B$9955,0))</f>
        <v>8199.1299999999992</v>
      </c>
      <c r="J283" s="382" t="s">
        <v>1304</v>
      </c>
      <c r="K283" s="368" t="str">
        <f>IF(ISNA(HLOOKUP("start",ESLData!C$1:C$9955,MATCH($A283,ESLData!$B$1:$B$9955,0))),"",HLOOKUP("start",ESLData!C$1:C$9955,MATCH($A283,ESLData!$B$1:$B$9955,0)))</f>
        <v>Ses Sp Psychologist</v>
      </c>
    </row>
    <row r="284" spans="1:12" s="368" customFormat="1" ht="14.25" customHeight="1" x14ac:dyDescent="0.2">
      <c r="A284" s="364">
        <v>37130</v>
      </c>
      <c r="C284" s="363">
        <f>HLOOKUP("start",ESLData!E$1:E$9955,MATCH($A284,ESLData!$B$1:$B$9955,0))</f>
        <v>13669.53</v>
      </c>
      <c r="E284" s="363">
        <f>HLOOKUP("start",ESLData!F$1:F$9955,MATCH($A284,ESLData!$B$1:$B$9955,0))</f>
        <v>16500</v>
      </c>
      <c r="G284" s="363">
        <f>HLOOKUP("start",ESLData!H$1:H$9955,MATCH($A284,ESLData!$B$1:$B$9955,0))</f>
        <v>12012</v>
      </c>
      <c r="J284" s="382" t="s">
        <v>1304</v>
      </c>
      <c r="K284" s="368" t="str">
        <f>IF(ISNA(HLOOKUP("start",ESLData!C$1:C$9955,MATCH($A284,ESLData!$B$1:$B$9955,0))),"",HLOOKUP("start",ESLData!C$1:C$9955,MATCH($A284,ESLData!$B$1:$B$9955,0)))</f>
        <v>Physiotherapy Contract</v>
      </c>
    </row>
    <row r="285" spans="1:12" s="368" customFormat="1" ht="14.25" customHeight="1" x14ac:dyDescent="0.2">
      <c r="A285" s="364">
        <v>37145</v>
      </c>
      <c r="C285" s="363">
        <f>HLOOKUP("start",ESLData!E$1:E$9955,MATCH($A285,ESLData!$B$1:$B$9955,0))</f>
        <v>0</v>
      </c>
      <c r="E285" s="363">
        <f>HLOOKUP("start",ESLData!F$1:F$9955,MATCH($A285,ESLData!$B$1:$B$9955,0))</f>
        <v>1000</v>
      </c>
      <c r="G285" s="363">
        <f>HLOOKUP("start",ESLData!H$1:H$9955,MATCH($A285,ESLData!$B$1:$B$9955,0))</f>
        <v>550</v>
      </c>
      <c r="I285" s="370"/>
      <c r="J285" s="382" t="s">
        <v>1304</v>
      </c>
      <c r="K285" s="368" t="str">
        <f>IF(ISNA(HLOOKUP("start",ESLData!C$1:C$9955,MATCH($A285,ESLData!$B$1:$B$9955,0))),"",HLOOKUP("start",ESLData!C$1:C$9955,MATCH($A285,ESLData!$B$1:$B$9955,0)))</f>
        <v>Interpreter Costs</v>
      </c>
    </row>
    <row r="286" spans="1:12" s="368" customFormat="1" ht="14.25" customHeight="1" x14ac:dyDescent="0.2">
      <c r="A286" s="364">
        <v>37140</v>
      </c>
      <c r="C286" s="363">
        <f>HLOOKUP("start",ESLData!E$1:E$9955,MATCH($A286,ESLData!$B$1:$B$9955,0))</f>
        <v>13019.5</v>
      </c>
      <c r="D286" s="369"/>
      <c r="E286" s="363">
        <f>HLOOKUP("start",ESLData!F$1:F$9955,MATCH($A286,ESLData!$B$1:$B$9955,0))</f>
        <v>16500</v>
      </c>
      <c r="F286" s="369"/>
      <c r="G286" s="363">
        <f>HLOOKUP("start",ESLData!H$1:H$9955,MATCH($A286,ESLData!$B$1:$B$9955,0))</f>
        <v>15247.59</v>
      </c>
      <c r="H286" s="369"/>
      <c r="J286" s="382" t="s">
        <v>1304</v>
      </c>
      <c r="K286" s="368" t="str">
        <f>IF(ISNA(HLOOKUP("start",ESLData!C$1:C$9955,MATCH($A286,ESLData!$B$1:$B$9955,0))),"",HLOOKUP("start",ESLData!C$1:C$9955,MATCH($A286,ESLData!$B$1:$B$9955,0)))</f>
        <v>Occupational Therapy Contract</v>
      </c>
    </row>
    <row r="287" spans="1:12" s="368" customFormat="1" ht="14.25" customHeight="1" x14ac:dyDescent="0.2">
      <c r="A287" s="364">
        <v>37010</v>
      </c>
      <c r="C287" s="363">
        <f>HLOOKUP("start",ESLData!E$1:E$9955,MATCH($A287,ESLData!$B$1:$B$9955,0))</f>
        <v>19338.36</v>
      </c>
      <c r="E287" s="363">
        <f>HLOOKUP("start",ESLData!F$1:F$9955,MATCH($A287,ESLData!$B$1:$B$9955,0))</f>
        <v>23500</v>
      </c>
      <c r="G287" s="363">
        <f>HLOOKUP("start",ESLData!H$1:H$9955,MATCH($A287,ESLData!$B$1:$B$9955,0))</f>
        <v>17408.93</v>
      </c>
      <c r="J287" s="382" t="s">
        <v>1304</v>
      </c>
      <c r="K287" s="368" t="str">
        <f>IF(ISNA(HLOOKUP("start",ESLData!C$1:C$9955,MATCH($A287,ESLData!$B$1:$B$9955,0))),"",HLOOKUP("start",ESLData!C$1:C$9955,MATCH($A287,ESLData!$B$1:$B$9955,0)))</f>
        <v>Client Travel</v>
      </c>
    </row>
    <row r="288" spans="1:12" s="368" customFormat="1" ht="14.25" customHeight="1" x14ac:dyDescent="0.2">
      <c r="A288" s="364">
        <v>37210</v>
      </c>
      <c r="C288" s="363">
        <f>HLOOKUP("start",ESLData!E$1:E$9955,MATCH($A288,ESLData!$B$1:$B$9955,0))</f>
        <v>233.93</v>
      </c>
      <c r="E288" s="363">
        <f>HLOOKUP("start",ESLData!F$1:F$9955,MATCH($A288,ESLData!$B$1:$B$9955,0))</f>
        <v>850</v>
      </c>
      <c r="G288" s="363">
        <f>HLOOKUP("start",ESLData!H$1:H$9955,MATCH($A288,ESLData!$B$1:$B$9955,0))</f>
        <v>833.79</v>
      </c>
      <c r="J288" s="382" t="s">
        <v>1304</v>
      </c>
      <c r="K288" s="368" t="str">
        <f>IF(ISNA(HLOOKUP("start",ESLData!C$1:C$9955,MATCH($A288,ESLData!$B$1:$B$9955,0))),"",HLOOKUP("start",ESLData!C$1:C$9955,MATCH($A288,ESLData!$B$1:$B$9955,0)))</f>
        <v>Publications</v>
      </c>
    </row>
    <row r="289" spans="1:11" s="368" customFormat="1" ht="14.25" customHeight="1" x14ac:dyDescent="0.2">
      <c r="A289" s="364">
        <v>35203</v>
      </c>
      <c r="C289" s="363">
        <f>HLOOKUP("start",ESLData!E$1:E$9955,MATCH($A289,ESLData!$B$1:$B$9955,0))</f>
        <v>0</v>
      </c>
      <c r="E289" s="363">
        <f>HLOOKUP("start",ESLData!F$1:F$9955,MATCH($A289,ESLData!$B$1:$B$9955,0))</f>
        <v>2500</v>
      </c>
      <c r="G289" s="363">
        <f>HLOOKUP("start",ESLData!H$1:H$9955,MATCH($A289,ESLData!$B$1:$B$9955,0))</f>
        <v>2320.81</v>
      </c>
      <c r="J289" s="382" t="s">
        <v>1304</v>
      </c>
      <c r="K289" s="368" t="str">
        <f>IF(ISNA(HLOOKUP("start",ESLData!C$1:C$9955,MATCH($A289,ESLData!$B$1:$B$9955,0))),"",HLOOKUP("start",ESLData!C$1:C$9955,MATCH($A289,ESLData!$B$1:$B$9955,0)))</f>
        <v>Assistive Technology Group</v>
      </c>
    </row>
    <row r="290" spans="1:11" s="368" customFormat="1" ht="14.25" customHeight="1" x14ac:dyDescent="0.2">
      <c r="A290" s="364">
        <v>35166</v>
      </c>
      <c r="C290" s="363">
        <f>HLOOKUP("start",ESLData!E$1:E$9955,MATCH($A290,ESLData!$B$1:$B$9955,0))</f>
        <v>105.83</v>
      </c>
      <c r="E290" s="363">
        <f>HLOOKUP("start",ESLData!F$1:F$9955,MATCH($A290,ESLData!$B$1:$B$9955,0))</f>
        <v>150</v>
      </c>
      <c r="G290" s="363">
        <f>HLOOKUP("start",ESLData!H$1:H$9955,MATCH($A290,ESLData!$B$1:$B$9955,0))</f>
        <v>0</v>
      </c>
      <c r="J290" s="382" t="s">
        <v>1304</v>
      </c>
      <c r="K290" s="368" t="str">
        <f>IF(ISNA(HLOOKUP("start",ESLData!C$1:C$9955,MATCH($A290,ESLData!$B$1:$B$9955,0))),"",HLOOKUP("start",ESLData!C$1:C$9955,MATCH($A290,ESLData!$B$1:$B$9955,0)))</f>
        <v>Publications</v>
      </c>
    </row>
    <row r="291" spans="1:11" s="368" customFormat="1" ht="14.25" customHeight="1" x14ac:dyDescent="0.2">
      <c r="A291" s="364">
        <v>35185</v>
      </c>
      <c r="C291" s="363">
        <f>HLOOKUP("start",ESLData!E$1:E$9955,MATCH($A291,ESLData!$B$1:$B$9955,0))</f>
        <v>1231.58</v>
      </c>
      <c r="E291" s="363">
        <f>HLOOKUP("start",ESLData!F$1:F$9955,MATCH($A291,ESLData!$B$1:$B$9955,0))</f>
        <v>55000</v>
      </c>
      <c r="G291" s="363">
        <f>HLOOKUP("start",ESLData!H$1:H$9955,MATCH($A291,ESLData!$B$1:$B$9955,0))</f>
        <v>0</v>
      </c>
      <c r="J291" s="382" t="s">
        <v>1304</v>
      </c>
      <c r="K291" s="368" t="str">
        <f>IF(ISNA(HLOOKUP("start",ESLData!C$1:C$9955,MATCH($A291,ESLData!$B$1:$B$9955,0))),"",HLOOKUP("start",ESLData!C$1:C$9955,MATCH($A291,ESLData!$B$1:$B$9955,0)))</f>
        <v>Publications</v>
      </c>
    </row>
    <row r="292" spans="1:11" s="368" customFormat="1" ht="14.25" customHeight="1" x14ac:dyDescent="0.2">
      <c r="A292" s="364">
        <v>35535</v>
      </c>
      <c r="C292" s="363">
        <f>HLOOKUP("start",ESLData!E$1:E$9955,MATCH($A292,ESLData!$B$1:$B$9955,0))</f>
        <v>5450.05</v>
      </c>
      <c r="E292" s="363">
        <f>HLOOKUP("start",ESLData!F$1:F$9955,MATCH($A292,ESLData!$B$1:$B$9955,0))</f>
        <v>8000</v>
      </c>
      <c r="G292" s="363">
        <f>HLOOKUP("start",ESLData!H$1:H$9955,MATCH($A292,ESLData!$B$1:$B$9955,0))</f>
        <v>4645.97</v>
      </c>
      <c r="J292" s="382" t="s">
        <v>1304</v>
      </c>
      <c r="K292" s="368" t="str">
        <f>IF(ISNA(HLOOKUP("start",ESLData!C$1:C$9955,MATCH($A292,ESLData!$B$1:$B$9955,0))),"",HLOOKUP("start",ESLData!C$1:C$9955,MATCH($A292,ESLData!$B$1:$B$9955,0)))</f>
        <v>Regional Software Licences</v>
      </c>
    </row>
    <row r="293" spans="1:11" s="368" customFormat="1" ht="14.25" customHeight="1" x14ac:dyDescent="0.2">
      <c r="A293" s="364">
        <v>35540</v>
      </c>
      <c r="C293" s="363">
        <f>HLOOKUP("start",ESLData!E$1:E$9955,MATCH($A293,ESLData!$B$1:$B$9955,0))</f>
        <v>11935.29</v>
      </c>
      <c r="E293" s="363">
        <f>HLOOKUP("start",ESLData!F$1:F$9955,MATCH($A293,ESLData!$B$1:$B$9955,0))</f>
        <v>15000</v>
      </c>
      <c r="G293" s="363">
        <f>HLOOKUP("start",ESLData!H$1:H$9955,MATCH($A293,ESLData!$B$1:$B$9955,0))</f>
        <v>10428.9</v>
      </c>
      <c r="J293" s="382" t="s">
        <v>1304</v>
      </c>
      <c r="K293" s="368" t="str">
        <f>IF(ISNA(HLOOKUP("start",ESLData!C$1:C$9955,MATCH($A293,ESLData!$B$1:$B$9955,0))),"",HLOOKUP("start",ESLData!C$1:C$9955,MATCH($A293,ESLData!$B$1:$B$9955,0)))</f>
        <v>Regional Consumables</v>
      </c>
    </row>
    <row r="294" spans="1:11" s="368" customFormat="1" ht="14.25" customHeight="1" x14ac:dyDescent="0.2">
      <c r="A294" s="364">
        <v>60600</v>
      </c>
      <c r="C294" s="363">
        <f>HLOOKUP("start",ESLData!E$1:E$9955,MATCH($A294,ESLData!$B$1:$B$9955,0))</f>
        <v>406.86</v>
      </c>
      <c r="E294" s="363">
        <f>HLOOKUP("start",ESLData!F$1:F$9955,MATCH($A294,ESLData!$B$1:$B$9955,0))</f>
        <v>500</v>
      </c>
      <c r="G294" s="363">
        <f>HLOOKUP("start",ESLData!H$1:H$9955,MATCH($A294,ESLData!$B$1:$B$9955,0))</f>
        <v>65.13</v>
      </c>
      <c r="J294" s="382" t="s">
        <v>1304</v>
      </c>
      <c r="K294" s="368" t="str">
        <f>IF(ISNA(HLOOKUP("start",ESLData!C$1:C$9955,MATCH($A294,ESLData!$B$1:$B$9955,0))),"",HLOOKUP("start",ESLData!C$1:C$9955,MATCH($A294,ESLData!$B$1:$B$9955,0)))</f>
        <v>Publications</v>
      </c>
    </row>
    <row r="295" spans="1:11" s="368" customFormat="1" ht="14.25" customHeight="1" x14ac:dyDescent="0.2">
      <c r="A295" s="364">
        <v>35960</v>
      </c>
      <c r="C295" s="363">
        <f>HLOOKUP("start",ESLData!E$1:E$9955,MATCH($A295,ESLData!$B$1:$B$9955,0))</f>
        <v>76.73</v>
      </c>
      <c r="E295" s="363">
        <f>HLOOKUP("start",ESLData!F$1:F$9955,MATCH($A295,ESLData!$B$1:$B$9955,0))</f>
        <v>100</v>
      </c>
      <c r="G295" s="363">
        <f>HLOOKUP("start",ESLData!H$1:H$9955,MATCH($A295,ESLData!$B$1:$B$9955,0))</f>
        <v>0</v>
      </c>
      <c r="J295" s="382" t="s">
        <v>1304</v>
      </c>
      <c r="K295" s="368" t="str">
        <f>IF(ISNA(HLOOKUP("start",ESLData!C$1:C$9955,MATCH($A295,ESLData!$B$1:$B$9955,0))),"",HLOOKUP("start",ESLData!C$1:C$9955,MATCH($A295,ESLData!$B$1:$B$9955,0)))</f>
        <v>Publications Ec</v>
      </c>
    </row>
    <row r="296" spans="1:11" s="368" customFormat="1" ht="14.25" customHeight="1" x14ac:dyDescent="0.2">
      <c r="A296" s="364">
        <v>34760</v>
      </c>
      <c r="C296" s="363">
        <f>HLOOKUP("start",ESLData!E$1:E$9955,MATCH($A296,ESLData!$B$1:$B$9955,0))</f>
        <v>0</v>
      </c>
      <c r="E296" s="363">
        <f>HLOOKUP("start",ESLData!F$1:F$9955,MATCH($A296,ESLData!$B$1:$B$9955,0))</f>
        <v>200</v>
      </c>
      <c r="G296" s="363">
        <f>HLOOKUP("start",ESLData!H$1:H$9955,MATCH($A296,ESLData!$B$1:$B$9955,0))</f>
        <v>200.95</v>
      </c>
      <c r="J296" s="382" t="s">
        <v>1304</v>
      </c>
      <c r="K296" s="368" t="str">
        <f>IF(ISNA(HLOOKUP("start",ESLData!C$1:C$9955,MATCH($A296,ESLData!$B$1:$B$9955,0))),"",HLOOKUP("start",ESLData!C$1:C$9955,MATCH($A296,ESLData!$B$1:$B$9955,0)))</f>
        <v>Publications</v>
      </c>
    </row>
    <row r="297" spans="1:11" s="368" customFormat="1" ht="14.25" customHeight="1" x14ac:dyDescent="0.2">
      <c r="A297" s="364">
        <v>60876</v>
      </c>
      <c r="C297" s="363">
        <f>HLOOKUP("start",ESLData!E$1:E$9955,MATCH($A297,ESLData!$B$1:$B$9955,0))</f>
        <v>553.49</v>
      </c>
      <c r="D297" s="369"/>
      <c r="E297" s="363">
        <f>HLOOKUP("start",ESLData!F$1:F$9955,MATCH($A297,ESLData!$B$1:$B$9955,0))</f>
        <v>1000</v>
      </c>
      <c r="F297" s="369"/>
      <c r="G297" s="363">
        <f>HLOOKUP("start",ESLData!H$1:H$9955,MATCH($A297,ESLData!$B$1:$B$9955,0))</f>
        <v>417.6</v>
      </c>
      <c r="H297" s="369"/>
      <c r="J297" s="382" t="s">
        <v>1304</v>
      </c>
      <c r="K297" s="368" t="str">
        <f>IF(ISNA(HLOOKUP("start",ESLData!C$1:C$9955,MATCH($A297,ESLData!$B$1:$B$9955,0))),"",HLOOKUP("start",ESLData!C$1:C$9955,MATCH($A297,ESLData!$B$1:$B$9955,0)))</f>
        <v>Lesson Costs</v>
      </c>
    </row>
    <row r="298" spans="1:11" s="368" customFormat="1" ht="14.25" customHeight="1" x14ac:dyDescent="0.2">
      <c r="A298" s="364">
        <v>61900</v>
      </c>
      <c r="C298" s="363">
        <f>HLOOKUP("start",ESLData!E$1:E$9955,MATCH($A298,ESLData!$B$1:$B$9955,0))</f>
        <v>386.46</v>
      </c>
      <c r="D298" s="369"/>
      <c r="E298" s="363">
        <f>HLOOKUP("start",ESLData!F$1:F$9955,MATCH($A298,ESLData!$B$1:$B$9955,0))</f>
        <v>2000</v>
      </c>
      <c r="F298" s="369"/>
      <c r="G298" s="363">
        <f>HLOOKUP("start",ESLData!H$1:H$9955,MATCH($A298,ESLData!$B$1:$B$9955,0))</f>
        <v>1154.99</v>
      </c>
      <c r="H298" s="369"/>
      <c r="J298" s="382" t="s">
        <v>1304</v>
      </c>
      <c r="K298" s="368" t="str">
        <f>IF(ISNA(HLOOKUP("start",ESLData!C$1:C$9955,MATCH($A298,ESLData!$B$1:$B$9955,0))),"",HLOOKUP("start",ESLData!C$1:C$9955,MATCH($A298,ESLData!$B$1:$B$9955,0)))</f>
        <v>Resources</v>
      </c>
    </row>
    <row r="299" spans="1:11" s="368" customFormat="1" ht="14.25" customHeight="1" x14ac:dyDescent="0.2">
      <c r="A299" s="364">
        <v>61200</v>
      </c>
      <c r="C299" s="363">
        <f>HLOOKUP("start",ESLData!E$1:E$9955,MATCH($A299,ESLData!$B$1:$B$9955,0))</f>
        <v>3020.92</v>
      </c>
      <c r="E299" s="363">
        <f>HLOOKUP("start",ESLData!F$1:F$9955,MATCH($A299,ESLData!$B$1:$B$9955,0))</f>
        <v>2000</v>
      </c>
      <c r="F299" s="369"/>
      <c r="G299" s="363">
        <f>HLOOKUP("start",ESLData!H$1:H$9955,MATCH($A299,ESLData!$B$1:$B$9955,0))</f>
        <v>0</v>
      </c>
      <c r="J299" s="382" t="s">
        <v>1304</v>
      </c>
      <c r="K299" s="368" t="str">
        <f>IF(ISNA(HLOOKUP("start",ESLData!C$1:C$9955,MATCH($A299,ESLData!$B$1:$B$9955,0))),"",HLOOKUP("start",ESLData!C$1:C$9955,MATCH($A299,ESLData!$B$1:$B$9955,0)))</f>
        <v>Course Materials</v>
      </c>
    </row>
    <row r="300" spans="1:11" s="368" customFormat="1" ht="14.25" customHeight="1" x14ac:dyDescent="0.2">
      <c r="A300" s="364">
        <v>61400</v>
      </c>
      <c r="C300" s="363">
        <f>HLOOKUP("start",ESLData!E$1:E$9955,MATCH($A300,ESLData!$B$1:$B$9955,0))</f>
        <v>0</v>
      </c>
      <c r="E300" s="363">
        <f>HLOOKUP("start",ESLData!F$1:F$9955,MATCH($A300,ESLData!$B$1:$B$9955,0))</f>
        <v>0</v>
      </c>
      <c r="F300" s="369"/>
      <c r="G300" s="363">
        <f>HLOOKUP("start",ESLData!H$1:H$9955,MATCH($A300,ESLData!$B$1:$B$9955,0))</f>
        <v>0</v>
      </c>
      <c r="J300" s="382" t="s">
        <v>1304</v>
      </c>
      <c r="K300" s="368" t="str">
        <f>IF(ISNA(HLOOKUP("start",ESLData!C$1:C$9955,MATCH($A300,ESLData!$B$1:$B$9955,0))),"",HLOOKUP("start",ESLData!C$1:C$9955,MATCH($A300,ESLData!$B$1:$B$9955,0)))</f>
        <v>Relief Staffing</v>
      </c>
    </row>
    <row r="301" spans="1:11" s="368" customFormat="1" ht="14.25" customHeight="1" x14ac:dyDescent="0.2">
      <c r="A301" s="364">
        <v>60550</v>
      </c>
      <c r="C301" s="363">
        <f>HLOOKUP("start",ESLData!E$1:E$9955,MATCH($A301,ESLData!$B$1:$B$9955,0))</f>
        <v>4894.42</v>
      </c>
      <c r="E301" s="363">
        <f>HLOOKUP("start",ESLData!F$1:F$9955,MATCH($A301,ESLData!$B$1:$B$9955,0))</f>
        <v>13000</v>
      </c>
      <c r="G301" s="363">
        <f>HLOOKUP("start",ESLData!H$1:H$9955,MATCH($A301,ESLData!$B$1:$B$9955,0))</f>
        <v>5244.49</v>
      </c>
      <c r="J301" s="382" t="s">
        <v>1304</v>
      </c>
      <c r="K301" s="368" t="str">
        <f>IF(ISNA(HLOOKUP("start",ESLData!C$1:C$9955,MATCH($A301,ESLData!$B$1:$B$9955,0))),"",HLOOKUP("start",ESLData!C$1:C$9955,MATCH($A301,ESLData!$B$1:$B$9955,0)))</f>
        <v>Consumables</v>
      </c>
    </row>
    <row r="302" spans="1:11" s="368" customFormat="1" ht="14.25" customHeight="1" x14ac:dyDescent="0.2">
      <c r="A302" s="364">
        <v>60200</v>
      </c>
      <c r="C302" s="363">
        <f>HLOOKUP("start",ESLData!E$1:E$9955,MATCH($A302,ESLData!$B$1:$B$9955,0))</f>
        <v>11227.94</v>
      </c>
      <c r="E302" s="363">
        <f>HLOOKUP("start",ESLData!F$1:F$9955,MATCH($A302,ESLData!$B$1:$B$9955,0))</f>
        <v>65000</v>
      </c>
      <c r="G302" s="363">
        <f>HLOOKUP("start",ESLData!H$1:H$9955,MATCH($A302,ESLData!$B$1:$B$9955,0))</f>
        <v>13012.1</v>
      </c>
      <c r="J302" s="382" t="s">
        <v>1304</v>
      </c>
      <c r="K302" s="368" t="str">
        <f>IF(ISNA(HLOOKUP("start",ESLData!C$1:C$9955,MATCH($A302,ESLData!$B$1:$B$9955,0))),"",HLOOKUP("start",ESLData!C$1:C$9955,MATCH($A302,ESLData!$B$1:$B$9955,0)))</f>
        <v>Regional ORS Therapy</v>
      </c>
    </row>
    <row r="303" spans="1:11" s="368" customFormat="1" ht="14.25" customHeight="1" x14ac:dyDescent="0.2">
      <c r="A303" s="364">
        <v>35180</v>
      </c>
      <c r="C303" s="363">
        <f>HLOOKUP("start",ESLData!E$1:E$9955,MATCH($A303,ESLData!$B$1:$B$9955,0))</f>
        <v>70.900000000000006</v>
      </c>
      <c r="E303" s="363">
        <f>HLOOKUP("start",ESLData!F$1:F$9955,MATCH($A303,ESLData!$B$1:$B$9955,0))</f>
        <v>200</v>
      </c>
      <c r="G303" s="363">
        <f>HLOOKUP("start",ESLData!H$1:H$9955,MATCH($A303,ESLData!$B$1:$B$9955,0))</f>
        <v>39.729999999999997</v>
      </c>
      <c r="J303" s="382" t="s">
        <v>1304</v>
      </c>
      <c r="K303" s="368" t="str">
        <f>IF(ISNA(HLOOKUP("start",ESLData!C$1:C$9955,MATCH($A303,ESLData!$B$1:$B$9955,0))),"",HLOOKUP("start",ESLData!C$1:C$9955,MATCH($A303,ESLData!$B$1:$B$9955,0)))</f>
        <v>Postage</v>
      </c>
    </row>
    <row r="304" spans="1:11" s="368" customFormat="1" ht="14.25" customHeight="1" x14ac:dyDescent="0.2">
      <c r="A304" s="364">
        <v>62450</v>
      </c>
      <c r="C304" s="363">
        <f>HLOOKUP("start",ESLData!E$1:E$9955,MATCH($A304,ESLData!$B$1:$B$9955,0))</f>
        <v>2453.7800000000002</v>
      </c>
      <c r="E304" s="363">
        <f>HLOOKUP("start",ESLData!F$1:F$9955,MATCH($A304,ESLData!$B$1:$B$9955,0))</f>
        <v>2000</v>
      </c>
      <c r="G304" s="363">
        <f>HLOOKUP("start",ESLData!H$1:H$9955,MATCH($A304,ESLData!$B$1:$B$9955,0))</f>
        <v>1054.2</v>
      </c>
      <c r="J304" s="382" t="s">
        <v>1304</v>
      </c>
      <c r="K304" s="368" t="str">
        <f>IF(ISNA(HLOOKUP("start",ESLData!C$1:C$9955,MATCH($A304,ESLData!$B$1:$B$9955,0))),"",HLOOKUP("start",ESLData!C$1:C$9955,MATCH($A304,ESLData!$B$1:$B$9955,0)))</f>
        <v>Resource Production</v>
      </c>
    </row>
    <row r="305" spans="1:11" s="368" customFormat="1" ht="14.25" customHeight="1" x14ac:dyDescent="0.2">
      <c r="A305" s="364">
        <v>62455</v>
      </c>
      <c r="C305" s="363">
        <f>HLOOKUP("start",ESLData!E$1:E$9955,MATCH($A305,ESLData!$B$1:$B$9955,0))</f>
        <v>0</v>
      </c>
      <c r="E305" s="363">
        <f>HLOOKUP("start",ESLData!F$1:F$9955,MATCH($A305,ESLData!$B$1:$B$9955,0))</f>
        <v>200</v>
      </c>
      <c r="G305" s="363">
        <f>HLOOKUP("start",ESLData!H$1:H$9955,MATCH($A305,ESLData!$B$1:$B$9955,0))</f>
        <v>0</v>
      </c>
      <c r="J305" s="382" t="s">
        <v>1304</v>
      </c>
      <c r="K305" s="368" t="str">
        <f>IF(ISNA(HLOOKUP("start",ESLData!C$1:C$9955,MATCH($A305,ESLData!$B$1:$B$9955,0))),"",HLOOKUP("start",ESLData!C$1:C$9955,MATCH($A305,ESLData!$B$1:$B$9955,0)))</f>
        <v>DOM Expenses</v>
      </c>
    </row>
    <row r="306" spans="1:11" s="368" customFormat="1" ht="14.25" customHeight="1" x14ac:dyDescent="0.2">
      <c r="A306" s="364">
        <v>35150</v>
      </c>
      <c r="C306" s="363">
        <f>HLOOKUP("start",ESLData!E$1:E$9955,MATCH($A306,ESLData!$B$1:$B$9955,0))</f>
        <v>160.80000000000001</v>
      </c>
      <c r="E306" s="363">
        <f>HLOOKUP("start",ESLData!F$1:F$9955,MATCH($A306,ESLData!$B$1:$B$9955,0))</f>
        <v>200</v>
      </c>
      <c r="G306" s="363">
        <f>HLOOKUP("start",ESLData!H$1:H$9955,MATCH($A306,ESLData!$B$1:$B$9955,0))</f>
        <v>198.16</v>
      </c>
      <c r="J306" s="382" t="s">
        <v>1304</v>
      </c>
      <c r="K306" s="368" t="str">
        <f>IF(ISNA(HLOOKUP("start",ESLData!C$1:C$9955,MATCH($A306,ESLData!$B$1:$B$9955,0))),"",HLOOKUP("start",ESLData!C$1:C$9955,MATCH($A306,ESLData!$B$1:$B$9955,0)))</f>
        <v>Publications</v>
      </c>
    </row>
    <row r="307" spans="1:11" s="368" customFormat="1" ht="14.25" customHeight="1" x14ac:dyDescent="0.2">
      <c r="A307" s="364">
        <v>35155</v>
      </c>
      <c r="C307" s="363">
        <f>HLOOKUP("start",ESLData!E$1:E$9955,MATCH($A307,ESLData!$B$1:$B$9955,0))</f>
        <v>0</v>
      </c>
      <c r="E307" s="363">
        <v>4950</v>
      </c>
      <c r="G307" s="363">
        <f>HLOOKUP("start",ESLData!H$1:H$9955,MATCH($A307,ESLData!$B$1:$B$9955,0))</f>
        <v>0</v>
      </c>
      <c r="J307" s="382" t="s">
        <v>1304</v>
      </c>
      <c r="K307" s="368" t="str">
        <f>IF(ISNA(HLOOKUP("start",ESLData!C$1:C$9955,MATCH($A307,ESLData!$B$1:$B$9955,0))),"",HLOOKUP("start",ESLData!C$1:C$9955,MATCH($A307,ESLData!$B$1:$B$9955,0)))</f>
        <v>Subs/Membership Fees</v>
      </c>
    </row>
    <row r="308" spans="1:11" s="368" customFormat="1" ht="14.25" customHeight="1" x14ac:dyDescent="0.2">
      <c r="A308" s="364">
        <v>63400</v>
      </c>
      <c r="C308" s="363">
        <f>HLOOKUP("start",ESLData!E$1:E$9955,MATCH($A308,ESLData!$B$1:$B$9955,0))</f>
        <v>116.86</v>
      </c>
      <c r="E308" s="363">
        <f>HLOOKUP("start",ESLData!F$1:F$9955,MATCH($A308,ESLData!$B$1:$B$9955,0))</f>
        <v>250</v>
      </c>
      <c r="G308" s="363">
        <f>HLOOKUP("start",ESLData!H$1:H$9955,MATCH($A308,ESLData!$B$1:$B$9955,0))</f>
        <v>180.41</v>
      </c>
      <c r="J308" s="382" t="s">
        <v>1304</v>
      </c>
      <c r="K308" s="368" t="str">
        <f>IF(ISNA(HLOOKUP("start",ESLData!C$1:C$9955,MATCH($A308,ESLData!$B$1:$B$9955,0))),"",HLOOKUP("start",ESLData!C$1:C$9955,MATCH($A308,ESLData!$B$1:$B$9955,0)))</f>
        <v>Publications</v>
      </c>
    </row>
    <row r="309" spans="1:11" s="368" customFormat="1" ht="14.25" customHeight="1" x14ac:dyDescent="0.2">
      <c r="A309" s="364">
        <v>63450</v>
      </c>
      <c r="C309" s="363">
        <f>HLOOKUP("start",ESLData!E$1:E$9955,MATCH($A309,ESLData!$B$1:$B$9955,0))</f>
        <v>0</v>
      </c>
      <c r="E309" s="363">
        <f>HLOOKUP("start",ESLData!F$1:F$9955,MATCH($A309,ESLData!$B$1:$B$9955,0))</f>
        <v>100</v>
      </c>
      <c r="G309" s="363">
        <f>HLOOKUP("start",ESLData!H$1:H$9955,MATCH($A309,ESLData!$B$1:$B$9955,0))</f>
        <v>0</v>
      </c>
      <c r="J309" s="382" t="s">
        <v>1304</v>
      </c>
      <c r="K309" s="368" t="str">
        <f>IF(ISNA(HLOOKUP("start",ESLData!C$1:C$9955,MATCH($A309,ESLData!$B$1:$B$9955,0))),"",HLOOKUP("start",ESLData!C$1:C$9955,MATCH($A309,ESLData!$B$1:$B$9955,0)))</f>
        <v>Subs/Membership Fees</v>
      </c>
    </row>
    <row r="310" spans="1:11" s="368" customFormat="1" ht="14.25" customHeight="1" x14ac:dyDescent="0.2">
      <c r="A310" s="364">
        <v>63460</v>
      </c>
      <c r="C310" s="363">
        <f>HLOOKUP("start",ESLData!E$1:E$9955,MATCH($A310,ESLData!$B$1:$B$9955,0))</f>
        <v>817.47</v>
      </c>
      <c r="E310" s="363">
        <f>HLOOKUP("start",ESLData!F$1:F$9955,MATCH($A310,ESLData!$B$1:$B$9955,0))</f>
        <v>1000</v>
      </c>
      <c r="G310" s="363">
        <f>HLOOKUP("start",ESLData!H$1:H$9955,MATCH($A310,ESLData!$B$1:$B$9955,0))</f>
        <v>639.13</v>
      </c>
      <c r="J310" s="382" t="s">
        <v>1304</v>
      </c>
      <c r="K310" s="368" t="str">
        <f>IF(ISNA(HLOOKUP("start",ESLData!C$1:C$9955,MATCH($A310,ESLData!$B$1:$B$9955,0))),"",HLOOKUP("start",ESLData!C$1:C$9955,MATCH($A310,ESLData!$B$1:$B$9955,0)))</f>
        <v>Resource Production</v>
      </c>
    </row>
    <row r="311" spans="1:11" s="368" customFormat="1" ht="14.25" customHeight="1" x14ac:dyDescent="0.2">
      <c r="A311" s="364">
        <v>63465</v>
      </c>
      <c r="C311" s="363">
        <f>HLOOKUP("start",ESLData!E$1:E$9955,MATCH($A311,ESLData!$B$1:$B$9955,0))</f>
        <v>100.36</v>
      </c>
      <c r="E311" s="363">
        <f>HLOOKUP("start",ESLData!F$1:F$9955,MATCH($A311,ESLData!$B$1:$B$9955,0))</f>
        <v>200</v>
      </c>
      <c r="G311" s="363">
        <f>HLOOKUP("start",ESLData!H$1:H$9955,MATCH($A311,ESLData!$B$1:$B$9955,0))</f>
        <v>164.35</v>
      </c>
      <c r="J311" s="382" t="s">
        <v>1304</v>
      </c>
      <c r="K311" s="368" t="str">
        <f>IF(ISNA(HLOOKUP("start",ESLData!C$1:C$9955,MATCH($A311,ESLData!$B$1:$B$9955,0))),"",HLOOKUP("start",ESLData!C$1:C$9955,MATCH($A311,ESLData!$B$1:$B$9955,0)))</f>
        <v>DOM Expenses</v>
      </c>
    </row>
    <row r="312" spans="1:11" s="368" customFormat="1" ht="14.25" customHeight="1" x14ac:dyDescent="0.2">
      <c r="A312" s="364">
        <v>35350</v>
      </c>
      <c r="C312" s="363">
        <f>HLOOKUP("start",ESLData!E$1:E$9955,MATCH($A312,ESLData!$B$1:$B$9955,0))</f>
        <v>0</v>
      </c>
      <c r="E312" s="363">
        <f>HLOOKUP("start",ESLData!F$1:F$9955,MATCH($A312,ESLData!$B$1:$B$9955,0))</f>
        <v>100</v>
      </c>
      <c r="G312" s="363">
        <f>HLOOKUP("start",ESLData!H$1:H$9955,MATCH($A312,ESLData!$B$1:$B$9955,0))</f>
        <v>0</v>
      </c>
      <c r="J312" s="382" t="s">
        <v>1304</v>
      </c>
      <c r="K312" s="368" t="str">
        <f>IF(ISNA(HLOOKUP("start",ESLData!C$1:C$9955,MATCH($A312,ESLData!$B$1:$B$9955,0))),"",HLOOKUP("start",ESLData!C$1:C$9955,MATCH($A312,ESLData!$B$1:$B$9955,0)))</f>
        <v>Subs/ Membership Fees</v>
      </c>
    </row>
    <row r="313" spans="1:11" s="368" customFormat="1" ht="14.25" customHeight="1" x14ac:dyDescent="0.2">
      <c r="A313" s="364">
        <v>35360</v>
      </c>
      <c r="C313" s="363">
        <f>HLOOKUP("start",ESLData!E$1:E$9955,MATCH($A313,ESLData!$B$1:$B$9955,0))</f>
        <v>529.59</v>
      </c>
      <c r="E313" s="363">
        <f>HLOOKUP("start",ESLData!F$1:F$9955,MATCH($A313,ESLData!$B$1:$B$9955,0))</f>
        <v>1000</v>
      </c>
      <c r="G313" s="363">
        <f>HLOOKUP("start",ESLData!H$1:H$9955,MATCH($A313,ESLData!$B$1:$B$9955,0))</f>
        <v>878.15</v>
      </c>
      <c r="J313" s="382" t="s">
        <v>1304</v>
      </c>
      <c r="K313" s="368" t="str">
        <f>IF(ISNA(HLOOKUP("start",ESLData!C$1:C$9955,MATCH($A313,ESLData!$B$1:$B$9955,0))),"",HLOOKUP("start",ESLData!C$1:C$9955,MATCH($A313,ESLData!$B$1:$B$9955,0)))</f>
        <v>Educational Resources</v>
      </c>
    </row>
    <row r="314" spans="1:11" s="368" customFormat="1" ht="14.25" customHeight="1" x14ac:dyDescent="0.2">
      <c r="A314" s="364">
        <v>35361</v>
      </c>
      <c r="C314" s="363">
        <f>HLOOKUP("start",ESLData!E$1:E$9955,MATCH($A314,ESLData!$B$1:$B$9955,0))</f>
        <v>0</v>
      </c>
      <c r="E314" s="363">
        <f>HLOOKUP("start",ESLData!F$1:F$9955,MATCH($A314,ESLData!$B$1:$B$9955,0))</f>
        <v>200</v>
      </c>
      <c r="G314" s="363">
        <f>HLOOKUP("start",ESLData!H$1:H$9955,MATCH($A314,ESLData!$B$1:$B$9955,0))</f>
        <v>181.73</v>
      </c>
      <c r="J314" s="382" t="s">
        <v>1304</v>
      </c>
      <c r="K314" s="368" t="str">
        <f>IF(ISNA(HLOOKUP("start",ESLData!C$1:C$9955,MATCH($A314,ESLData!$B$1:$B$9955,0))),"",HLOOKUP("start",ESLData!C$1:C$9955,MATCH($A314,ESLData!$B$1:$B$9955,0)))</f>
        <v>DOM Expenses</v>
      </c>
    </row>
    <row r="315" spans="1:11" s="368" customFormat="1" ht="14.25" customHeight="1" x14ac:dyDescent="0.2">
      <c r="A315" s="364">
        <v>35650</v>
      </c>
      <c r="C315" s="363">
        <f>HLOOKUP("start",ESLData!E$1:E$9955,MATCH($A315,ESLData!$B$1:$B$9955,0))</f>
        <v>0</v>
      </c>
      <c r="E315" s="363">
        <f>HLOOKUP("start",ESLData!F$1:F$9955,MATCH($A315,ESLData!$B$1:$B$9955,0))</f>
        <v>100</v>
      </c>
      <c r="G315" s="363">
        <f>HLOOKUP("start",ESLData!H$1:H$9955,MATCH($A315,ESLData!$B$1:$B$9955,0))</f>
        <v>0</v>
      </c>
      <c r="J315" s="382" t="s">
        <v>1304</v>
      </c>
      <c r="K315" s="368" t="str">
        <f>IF(ISNA(HLOOKUP("start",ESLData!C$1:C$9955,MATCH($A315,ESLData!$B$1:$B$9955,0))),"",HLOOKUP("start",ESLData!C$1:C$9955,MATCH($A315,ESLData!$B$1:$B$9955,0)))</f>
        <v>Subs/Membership Fees</v>
      </c>
    </row>
    <row r="316" spans="1:11" s="368" customFormat="1" ht="14.25" customHeight="1" x14ac:dyDescent="0.2">
      <c r="A316" s="364">
        <v>35660</v>
      </c>
      <c r="C316" s="363">
        <f>HLOOKUP("start",ESLData!E$1:E$9955,MATCH($A316,ESLData!$B$1:$B$9955,0))</f>
        <v>1953.03</v>
      </c>
      <c r="E316" s="363">
        <f>HLOOKUP("start",ESLData!F$1:F$9955,MATCH($A316,ESLData!$B$1:$B$9955,0))</f>
        <v>1500</v>
      </c>
      <c r="G316" s="363">
        <f>HLOOKUP("start",ESLData!H$1:H$9955,MATCH($A316,ESLData!$B$1:$B$9955,0))</f>
        <v>1724.62</v>
      </c>
      <c r="J316" s="382" t="s">
        <v>1304</v>
      </c>
      <c r="K316" s="368" t="str">
        <f>IF(ISNA(HLOOKUP("start",ESLData!C$1:C$9955,MATCH($A316,ESLData!$B$1:$B$9955,0))),"",HLOOKUP("start",ESLData!C$1:C$9955,MATCH($A316,ESLData!$B$1:$B$9955,0)))</f>
        <v>Educational Resources</v>
      </c>
    </row>
    <row r="317" spans="1:11" s="368" customFormat="1" ht="14.25" customHeight="1" x14ac:dyDescent="0.2">
      <c r="A317" s="364">
        <v>35665</v>
      </c>
      <c r="C317" s="363">
        <f>HLOOKUP("start",ESLData!E$1:E$9955,MATCH($A317,ESLData!$B$1:$B$9955,0))</f>
        <v>37.409999999999997</v>
      </c>
      <c r="E317" s="363">
        <f>HLOOKUP("start",ESLData!F$1:F$9955,MATCH($A317,ESLData!$B$1:$B$9955,0))</f>
        <v>200</v>
      </c>
      <c r="G317" s="363">
        <f>HLOOKUP("start",ESLData!H$1:H$9955,MATCH($A317,ESLData!$B$1:$B$9955,0))</f>
        <v>161.84</v>
      </c>
      <c r="J317" s="382" t="s">
        <v>1304</v>
      </c>
      <c r="K317" s="368" t="str">
        <f>IF(ISNA(HLOOKUP("start",ESLData!C$1:C$9955,MATCH($A317,ESLData!$B$1:$B$9955,0))),"",HLOOKUP("start",ESLData!C$1:C$9955,MATCH($A317,ESLData!$B$1:$B$9955,0)))</f>
        <v>DOM Expenses</v>
      </c>
    </row>
    <row r="318" spans="1:11" s="368" customFormat="1" ht="14.25" customHeight="1" x14ac:dyDescent="0.2">
      <c r="A318" s="364">
        <v>39011</v>
      </c>
      <c r="C318" s="363">
        <f>HLOOKUP("start",ESLData!E$1:E$9955,MATCH($A318,ESLData!$B$1:$B$9955,0))</f>
        <v>0</v>
      </c>
      <c r="E318" s="363">
        <f>HLOOKUP("start",ESLData!F$1:F$9955,MATCH($A318,ESLData!$B$1:$B$9955,0))</f>
        <v>100</v>
      </c>
      <c r="G318" s="363">
        <f>HLOOKUP("start",ESLData!H$1:H$9955,MATCH($A318,ESLData!$B$1:$B$9955,0))</f>
        <v>0</v>
      </c>
      <c r="J318" s="382" t="s">
        <v>1304</v>
      </c>
      <c r="K318" s="368" t="str">
        <f>IF(ISNA(HLOOKUP("start",ESLData!C$1:C$9955,MATCH($A318,ESLData!$B$1:$B$9955,0))),"",HLOOKUP("start",ESLData!C$1:C$9955,MATCH($A318,ESLData!$B$1:$B$9955,0)))</f>
        <v>Subs/Membership Fees</v>
      </c>
    </row>
    <row r="319" spans="1:11" s="368" customFormat="1" ht="14.25" customHeight="1" x14ac:dyDescent="0.2">
      <c r="A319" s="364">
        <v>39012</v>
      </c>
      <c r="C319" s="363">
        <f>HLOOKUP("start",ESLData!E$1:E$9955,MATCH($A319,ESLData!$B$1:$B$9955,0))</f>
        <v>0</v>
      </c>
      <c r="E319" s="363">
        <f>HLOOKUP("start",ESLData!F$1:F$9955,MATCH($A319,ESLData!$B$1:$B$9955,0))</f>
        <v>0</v>
      </c>
      <c r="G319" s="363">
        <f>HLOOKUP("start",ESLData!H$1:H$9955,MATCH($A319,ESLData!$B$1:$B$9955,0))</f>
        <v>0</v>
      </c>
      <c r="I319" s="380" t="s">
        <v>1302</v>
      </c>
      <c r="K319" s="368" t="str">
        <f>IF(ISNA(HLOOKUP("start",ESLData!C$1:C$9955,MATCH($A319,ESLData!$B$1:$B$9955,0))),"",HLOOKUP("start",ESLData!C$1:C$9955,MATCH($A319,ESLData!$B$1:$B$9955,0)))</f>
        <v>Muffin Break</v>
      </c>
    </row>
    <row r="320" spans="1:11" s="368" customFormat="1" ht="14.25" customHeight="1" x14ac:dyDescent="0.2">
      <c r="A320" s="364">
        <v>39013</v>
      </c>
      <c r="C320" s="363">
        <f>HLOOKUP("start",ESLData!E$1:E$9955,MATCH($A320,ESLData!$B$1:$B$9955,0))</f>
        <v>383.84</v>
      </c>
      <c r="E320" s="363">
        <f>HLOOKUP("start",ESLData!F$1:F$9955,MATCH($A320,ESLData!$B$1:$B$9955,0))</f>
        <v>800</v>
      </c>
      <c r="G320" s="363">
        <f>HLOOKUP("start",ESLData!H$1:H$9955,MATCH($A320,ESLData!$B$1:$B$9955,0))</f>
        <v>700.31</v>
      </c>
      <c r="J320" s="382" t="s">
        <v>1304</v>
      </c>
      <c r="K320" s="368" t="str">
        <f>IF(ISNA(HLOOKUP("start",ESLData!C$1:C$9955,MATCH($A320,ESLData!$B$1:$B$9955,0))),"",HLOOKUP("start",ESLData!C$1:C$9955,MATCH($A320,ESLData!$B$1:$B$9955,0)))</f>
        <v>Educational Resources</v>
      </c>
    </row>
    <row r="321" spans="1:11" s="368" customFormat="1" ht="14.25" customHeight="1" x14ac:dyDescent="0.2">
      <c r="A321" s="364">
        <v>39014</v>
      </c>
      <c r="C321" s="363">
        <f>HLOOKUP("start",ESLData!E$1:E$9955,MATCH($A321,ESLData!$B$1:$B$9955,0))</f>
        <v>114.98</v>
      </c>
      <c r="E321" s="363">
        <f>HLOOKUP("start",ESLData!F$1:F$9955,MATCH($A321,ESLData!$B$1:$B$9955,0))</f>
        <v>2000</v>
      </c>
      <c r="G321" s="363">
        <f>HLOOKUP("start",ESLData!H$1:H$9955,MATCH($A321,ESLData!$B$1:$B$9955,0))</f>
        <v>992.25</v>
      </c>
      <c r="J321" s="382" t="s">
        <v>1304</v>
      </c>
      <c r="K321" s="368" t="str">
        <f>IF(ISNA(HLOOKUP("start",ESLData!C$1:C$9955,MATCH($A321,ESLData!$B$1:$B$9955,0))),"",HLOOKUP("start",ESLData!C$1:C$9955,MATCH($A321,ESLData!$B$1:$B$9955,0)))</f>
        <v>Resource Production Materials</v>
      </c>
    </row>
    <row r="322" spans="1:11" s="368" customFormat="1" ht="14.25" customHeight="1" x14ac:dyDescent="0.2">
      <c r="A322" s="364">
        <v>35640</v>
      </c>
      <c r="C322" s="363">
        <f>HLOOKUP("start",ESLData!E$1:E$9955,MATCH($A322,ESLData!$B$1:$B$9955,0))</f>
        <v>0</v>
      </c>
      <c r="E322" s="363">
        <f>HLOOKUP("start",ESLData!F$1:F$9955,MATCH($A322,ESLData!$B$1:$B$9955,0))</f>
        <v>200</v>
      </c>
      <c r="G322" s="363">
        <f>HLOOKUP("start",ESLData!H$1:H$9955,MATCH($A322,ESLData!$B$1:$B$9955,0))</f>
        <v>0</v>
      </c>
      <c r="J322" s="382" t="s">
        <v>1304</v>
      </c>
      <c r="K322" s="368" t="str">
        <f>IF(ISNA(HLOOKUP("start",ESLData!C$1:C$9955,MATCH($A322,ESLData!$B$1:$B$9955,0))),"",HLOOKUP("start",ESLData!C$1:C$9955,MATCH($A322,ESLData!$B$1:$B$9955,0)))</f>
        <v>Publications</v>
      </c>
    </row>
    <row r="323" spans="1:11" s="368" customFormat="1" ht="14.25" customHeight="1" x14ac:dyDescent="0.2">
      <c r="A323" s="364">
        <v>39010</v>
      </c>
      <c r="C323" s="363">
        <f>HLOOKUP("start",ESLData!E$1:E$9955,MATCH($A323,ESLData!$B$1:$B$9955,0))</f>
        <v>-184.43</v>
      </c>
      <c r="E323" s="363">
        <f>HLOOKUP("start",ESLData!F$1:F$9955,MATCH($A323,ESLData!$B$1:$B$9955,0))</f>
        <v>200</v>
      </c>
      <c r="G323" s="363">
        <f>HLOOKUP("start",ESLData!H$1:H$9955,MATCH($A323,ESLData!$B$1:$B$9955,0))</f>
        <v>80.97</v>
      </c>
      <c r="J323" s="382" t="s">
        <v>1304</v>
      </c>
      <c r="K323" s="368" t="str">
        <f>IF(ISNA(HLOOKUP("start",ESLData!C$1:C$9955,MATCH($A323,ESLData!$B$1:$B$9955,0))),"",HLOOKUP("start",ESLData!C$1:C$9955,MATCH($A323,ESLData!$B$1:$B$9955,0)))</f>
        <v>Publications</v>
      </c>
    </row>
    <row r="324" spans="1:11" s="368" customFormat="1" ht="14.25" customHeight="1" x14ac:dyDescent="0.2">
      <c r="A324" s="364">
        <v>39060</v>
      </c>
      <c r="C324" s="363">
        <f>HLOOKUP("start",ESLData!E$1:E$9955,MATCH($A324,ESLData!$B$1:$B$9955,0))</f>
        <v>106.4</v>
      </c>
      <c r="E324" s="363">
        <f>HLOOKUP("start",ESLData!F$1:F$9955,MATCH($A324,ESLData!$B$1:$B$9955,0))</f>
        <v>750</v>
      </c>
      <c r="G324" s="363">
        <f>HLOOKUP("start",ESLData!H$1:H$9955,MATCH($A324,ESLData!$B$1:$B$9955,0))</f>
        <v>377.1</v>
      </c>
      <c r="J324" s="382" t="s">
        <v>1304</v>
      </c>
      <c r="K324" s="368" t="str">
        <f>IF(ISNA(HLOOKUP("start",ESLData!C$1:C$9955,MATCH($A324,ESLData!$B$1:$B$9955,0))),"",HLOOKUP("start",ESLData!C$1:C$9955,MATCH($A324,ESLData!$B$1:$B$9955,0)))</f>
        <v>Publications</v>
      </c>
    </row>
    <row r="325" spans="1:11" s="368" customFormat="1" ht="14.25" customHeight="1" x14ac:dyDescent="0.2">
      <c r="A325" s="364">
        <v>39061</v>
      </c>
      <c r="C325" s="363">
        <f>HLOOKUP("start",ESLData!E$1:E$9955,MATCH($A325,ESLData!$B$1:$B$9955,0))</f>
        <v>0</v>
      </c>
      <c r="E325" s="363">
        <f>HLOOKUP("start",ESLData!F$1:F$9955,MATCH($A325,ESLData!$B$1:$B$9955,0))</f>
        <v>100</v>
      </c>
      <c r="G325" s="363">
        <f>HLOOKUP("start",ESLData!H$1:H$9955,MATCH($A325,ESLData!$B$1:$B$9955,0))</f>
        <v>47.83</v>
      </c>
      <c r="J325" s="382" t="s">
        <v>1304</v>
      </c>
      <c r="K325" s="368" t="str">
        <f>IF(ISNA(HLOOKUP("start",ESLData!C$1:C$9955,MATCH($A325,ESLData!$B$1:$B$9955,0))),"",HLOOKUP("start",ESLData!C$1:C$9955,MATCH($A325,ESLData!$B$1:$B$9955,0)))</f>
        <v>Subs/Membership Fees</v>
      </c>
    </row>
    <row r="326" spans="1:11" s="368" customFormat="1" ht="14.25" customHeight="1" x14ac:dyDescent="0.2">
      <c r="A326" s="364">
        <v>39064</v>
      </c>
      <c r="C326" s="363">
        <f>HLOOKUP("start",ESLData!E$1:E$9955,MATCH($A326,ESLData!$B$1:$B$9955,0))</f>
        <v>67.8</v>
      </c>
      <c r="E326" s="363">
        <f>HLOOKUP("start",ESLData!F$1:F$9955,MATCH($A326,ESLData!$B$1:$B$9955,0))</f>
        <v>200</v>
      </c>
      <c r="G326" s="363">
        <f>HLOOKUP("start",ESLData!H$1:H$9955,MATCH($A326,ESLData!$B$1:$B$9955,0))</f>
        <v>225.38</v>
      </c>
      <c r="J326" s="382" t="s">
        <v>1304</v>
      </c>
      <c r="K326" s="368" t="str">
        <f>IF(ISNA(HLOOKUP("start",ESLData!C$1:C$9955,MATCH($A326,ESLData!$B$1:$B$9955,0))),"",HLOOKUP("start",ESLData!C$1:C$9955,MATCH($A326,ESLData!$B$1:$B$9955,0)))</f>
        <v>DOM Expenses</v>
      </c>
    </row>
    <row r="327" spans="1:11" s="368" customFormat="1" ht="14.25" customHeight="1" x14ac:dyDescent="0.2">
      <c r="A327" s="364">
        <v>39110</v>
      </c>
      <c r="C327" s="363">
        <f>HLOOKUP("start",ESLData!E$1:E$9955,MATCH($A327,ESLData!$B$1:$B$9955,0))</f>
        <v>0</v>
      </c>
      <c r="E327" s="363">
        <f>HLOOKUP("start",ESLData!F$1:F$9955,MATCH($A327,ESLData!$B$1:$B$9955,0))</f>
        <v>200</v>
      </c>
      <c r="G327" s="363">
        <f>HLOOKUP("start",ESLData!H$1:H$9955,MATCH($A327,ESLData!$B$1:$B$9955,0))</f>
        <v>0</v>
      </c>
      <c r="J327" s="382" t="s">
        <v>1304</v>
      </c>
      <c r="K327" s="368" t="str">
        <f>IF(ISNA(HLOOKUP("start",ESLData!C$1:C$9955,MATCH($A327,ESLData!$B$1:$B$9955,0))),"",HLOOKUP("start",ESLData!C$1:C$9955,MATCH($A327,ESLData!$B$1:$B$9955,0)))</f>
        <v>Publications</v>
      </c>
    </row>
    <row r="328" spans="1:11" s="368" customFormat="1" ht="14.25" customHeight="1" x14ac:dyDescent="0.2">
      <c r="A328" s="364">
        <v>39111</v>
      </c>
      <c r="C328" s="363">
        <f>HLOOKUP("start",ESLData!E$1:E$9955,MATCH($A328,ESLData!$B$1:$B$9955,0))</f>
        <v>10.61</v>
      </c>
      <c r="E328" s="363">
        <f>HLOOKUP("start",ESLData!F$1:F$9955,MATCH($A328,ESLData!$B$1:$B$9955,0))</f>
        <v>100</v>
      </c>
      <c r="G328" s="363">
        <f>HLOOKUP("start",ESLData!H$1:H$9955,MATCH($A328,ESLData!$B$1:$B$9955,0))</f>
        <v>99.13</v>
      </c>
      <c r="J328" s="382" t="s">
        <v>1304</v>
      </c>
      <c r="K328" s="368" t="str">
        <f>IF(ISNA(HLOOKUP("start",ESLData!C$1:C$9955,MATCH($A328,ESLData!$B$1:$B$9955,0))),"",HLOOKUP("start",ESLData!C$1:C$9955,MATCH($A328,ESLData!$B$1:$B$9955,0)))</f>
        <v>Subs/Membership Fees</v>
      </c>
    </row>
    <row r="329" spans="1:11" s="368" customFormat="1" ht="14.25" customHeight="1" x14ac:dyDescent="0.2">
      <c r="A329" s="364">
        <v>39112</v>
      </c>
      <c r="C329" s="363">
        <f>HLOOKUP("start",ESLData!E$1:E$9955,MATCH($A329,ESLData!$B$1:$B$9955,0))</f>
        <v>1074.06</v>
      </c>
      <c r="E329" s="363">
        <f>HLOOKUP("start",ESLData!F$1:F$9955,MATCH($A329,ESLData!$B$1:$B$9955,0))</f>
        <v>1500</v>
      </c>
      <c r="G329" s="363">
        <f>HLOOKUP("start",ESLData!H$1:H$9955,MATCH($A329,ESLData!$B$1:$B$9955,0))</f>
        <v>1722.67</v>
      </c>
      <c r="J329" s="382" t="s">
        <v>1304</v>
      </c>
      <c r="K329" s="368" t="str">
        <f>IF(ISNA(HLOOKUP("start",ESLData!C$1:C$9955,MATCH($A329,ESLData!$B$1:$B$9955,0))),"",HLOOKUP("start",ESLData!C$1:C$9955,MATCH($A329,ESLData!$B$1:$B$9955,0)))</f>
        <v>Educational Resources</v>
      </c>
    </row>
    <row r="330" spans="1:11" s="368" customFormat="1" ht="14.25" customHeight="1" x14ac:dyDescent="0.2">
      <c r="A330" s="364">
        <v>39115</v>
      </c>
      <c r="C330" s="363">
        <f>HLOOKUP("start",ESLData!E$1:E$9955,MATCH($A330,ESLData!$B$1:$B$9955,0))</f>
        <v>36.119999999999997</v>
      </c>
      <c r="E330" s="363">
        <f>HLOOKUP("start",ESLData!F$1:F$9955,MATCH($A330,ESLData!$B$1:$B$9955,0))</f>
        <v>200</v>
      </c>
      <c r="G330" s="363">
        <f>HLOOKUP("start",ESLData!H$1:H$9955,MATCH($A330,ESLData!$B$1:$B$9955,0))</f>
        <v>177.39</v>
      </c>
      <c r="J330" s="382" t="s">
        <v>1304</v>
      </c>
      <c r="K330" s="368" t="str">
        <f>IF(ISNA(HLOOKUP("start",ESLData!C$1:C$9955,MATCH($A330,ESLData!$B$1:$B$9955,0))),"",HLOOKUP("start",ESLData!C$1:C$9955,MATCH($A330,ESLData!$B$1:$B$9955,0)))</f>
        <v>DOM Expenses</v>
      </c>
    </row>
    <row r="331" spans="1:11" s="368" customFormat="1" ht="14.25" customHeight="1" x14ac:dyDescent="0.2">
      <c r="A331" s="364">
        <v>39160</v>
      </c>
      <c r="C331" s="363">
        <f>HLOOKUP("start",ESLData!E$1:E$9955,MATCH($A331,ESLData!$B$1:$B$9955,0))</f>
        <v>0</v>
      </c>
      <c r="E331" s="363">
        <f>HLOOKUP("start",ESLData!F$1:F$9955,MATCH($A331,ESLData!$B$1:$B$9955,0))</f>
        <v>200</v>
      </c>
      <c r="G331" s="363">
        <f>HLOOKUP("start",ESLData!H$1:H$9955,MATCH($A331,ESLData!$B$1:$B$9955,0))</f>
        <v>86.43</v>
      </c>
      <c r="J331" s="382" t="s">
        <v>1304</v>
      </c>
      <c r="K331" s="368" t="str">
        <f>IF(ISNA(HLOOKUP("start",ESLData!C$1:C$9955,MATCH($A331,ESLData!$B$1:$B$9955,0))),"",HLOOKUP("start",ESLData!C$1:C$9955,MATCH($A331,ESLData!$B$1:$B$9955,0)))</f>
        <v>Publications</v>
      </c>
    </row>
    <row r="332" spans="1:11" s="368" customFormat="1" ht="14.25" customHeight="1" x14ac:dyDescent="0.2">
      <c r="A332" s="364">
        <v>39161</v>
      </c>
      <c r="C332" s="363">
        <f>HLOOKUP("start",ESLData!E$1:E$9955,MATCH($A332,ESLData!$B$1:$B$9955,0))</f>
        <v>0</v>
      </c>
      <c r="E332" s="363">
        <f>HLOOKUP("start",ESLData!F$1:F$9955,MATCH($A332,ESLData!$B$1:$B$9955,0))</f>
        <v>100</v>
      </c>
      <c r="G332" s="363">
        <f>HLOOKUP("start",ESLData!H$1:H$9955,MATCH($A332,ESLData!$B$1:$B$9955,0))</f>
        <v>0</v>
      </c>
      <c r="J332" s="382" t="s">
        <v>1304</v>
      </c>
      <c r="K332" s="368" t="str">
        <f>IF(ISNA(HLOOKUP("start",ESLData!C$1:C$9955,MATCH($A332,ESLData!$B$1:$B$9955,0))),"",HLOOKUP("start",ESLData!C$1:C$9955,MATCH($A332,ESLData!$B$1:$B$9955,0)))</f>
        <v>Subs/Membership Fees</v>
      </c>
    </row>
    <row r="333" spans="1:11" s="368" customFormat="1" ht="14.25" customHeight="1" x14ac:dyDescent="0.2">
      <c r="A333" s="364">
        <v>39162</v>
      </c>
      <c r="C333" s="363">
        <f>HLOOKUP("start",ESLData!E$1:E$9955,MATCH($A333,ESLData!$B$1:$B$9955,0))</f>
        <v>0</v>
      </c>
      <c r="E333" s="363">
        <f>HLOOKUP("start",ESLData!F$1:F$9955,MATCH($A333,ESLData!$B$1:$B$9955,0))</f>
        <v>0</v>
      </c>
      <c r="G333" s="363">
        <f>HLOOKUP("start",ESLData!H$1:H$9955,MATCH($A333,ESLData!$B$1:$B$9955,0))</f>
        <v>0</v>
      </c>
      <c r="I333" s="380" t="s">
        <v>1302</v>
      </c>
      <c r="K333" s="368" t="str">
        <f>IF(ISNA(HLOOKUP("start",ESLData!C$1:C$9955,MATCH($A333,ESLData!$B$1:$B$9955,0))),"",HLOOKUP("start",ESLData!C$1:C$9955,MATCH($A333,ESLData!$B$1:$B$9955,0)))</f>
        <v>Muffin Break</v>
      </c>
    </row>
    <row r="334" spans="1:11" s="368" customFormat="1" ht="14.25" customHeight="1" x14ac:dyDescent="0.2">
      <c r="A334" s="364">
        <v>39163</v>
      </c>
      <c r="C334" s="363">
        <f>HLOOKUP("start",ESLData!E$1:E$9955,MATCH($A334,ESLData!$B$1:$B$9955,0))</f>
        <v>1123.48</v>
      </c>
      <c r="E334" s="363">
        <f>HLOOKUP("start",ESLData!F$1:F$9955,MATCH($A334,ESLData!$B$1:$B$9955,0))</f>
        <v>1000</v>
      </c>
      <c r="G334" s="363">
        <f>HLOOKUP("start",ESLData!H$1:H$9955,MATCH($A334,ESLData!$B$1:$B$9955,0))</f>
        <v>772.34</v>
      </c>
      <c r="J334" s="382" t="s">
        <v>1304</v>
      </c>
      <c r="K334" s="368" t="str">
        <f>IF(ISNA(HLOOKUP("start",ESLData!C$1:C$9955,MATCH($A334,ESLData!$B$1:$B$9955,0))),"",HLOOKUP("start",ESLData!C$1:C$9955,MATCH($A334,ESLData!$B$1:$B$9955,0)))</f>
        <v>Resource Production</v>
      </c>
    </row>
    <row r="335" spans="1:11" s="368" customFormat="1" ht="14.25" customHeight="1" x14ac:dyDescent="0.2">
      <c r="A335" s="364">
        <v>39164</v>
      </c>
      <c r="C335" s="363">
        <f>HLOOKUP("start",ESLData!E$1:E$9955,MATCH($A335,ESLData!$B$1:$B$9955,0))</f>
        <v>2535.34</v>
      </c>
      <c r="E335" s="363">
        <f>HLOOKUP("start",ESLData!F$1:F$9955,MATCH($A335,ESLData!$B$1:$B$9955,0))</f>
        <v>1500</v>
      </c>
      <c r="G335" s="363">
        <f>HLOOKUP("start",ESLData!H$1:H$9955,MATCH($A335,ESLData!$B$1:$B$9955,0))</f>
        <v>4828.3900000000003</v>
      </c>
      <c r="J335" s="382" t="s">
        <v>1304</v>
      </c>
      <c r="K335" s="368" t="str">
        <f>IF(ISNA(HLOOKUP("start",ESLData!C$1:C$9955,MATCH($A335,ESLData!$B$1:$B$9955,0))),"",HLOOKUP("start",ESLData!C$1:C$9955,MATCH($A335,ESLData!$B$1:$B$9955,0)))</f>
        <v>Education Resources</v>
      </c>
    </row>
    <row r="336" spans="1:11" s="368" customFormat="1" ht="14.25" customHeight="1" x14ac:dyDescent="0.2">
      <c r="A336" s="364">
        <v>39165</v>
      </c>
      <c r="C336" s="363">
        <f>HLOOKUP("start",ESLData!E$1:E$9955,MATCH($A336,ESLData!$B$1:$B$9955,0))</f>
        <v>570.75</v>
      </c>
      <c r="E336" s="363">
        <f>HLOOKUP("start",ESLData!F$1:F$9955,MATCH($A336,ESLData!$B$1:$B$9955,0))</f>
        <v>250</v>
      </c>
      <c r="G336" s="363">
        <f>HLOOKUP("start",ESLData!H$1:H$9955,MATCH($A336,ESLData!$B$1:$B$9955,0))</f>
        <v>0</v>
      </c>
      <c r="J336" s="382" t="s">
        <v>1304</v>
      </c>
      <c r="K336" s="368" t="str">
        <f>IF(ISNA(HLOOKUP("start",ESLData!C$1:C$9955,MATCH($A336,ESLData!$B$1:$B$9955,0))),"",HLOOKUP("start",ESLData!C$1:C$9955,MATCH($A336,ESLData!$B$1:$B$9955,0)))</f>
        <v>Curriculum Days</v>
      </c>
    </row>
    <row r="337" spans="1:11" s="368" customFormat="1" ht="14.25" customHeight="1" x14ac:dyDescent="0.2">
      <c r="A337" s="364">
        <v>39169</v>
      </c>
      <c r="C337" s="363">
        <f>HLOOKUP("start",ESLData!E$1:E$9955,MATCH($A337,ESLData!$B$1:$B$9955,0))</f>
        <v>0</v>
      </c>
      <c r="E337" s="363">
        <f>HLOOKUP("start",ESLData!F$1:F$9955,MATCH($A337,ESLData!$B$1:$B$9955,0))</f>
        <v>200</v>
      </c>
      <c r="G337" s="363">
        <f>HLOOKUP("start",ESLData!H$1:H$9955,MATCH($A337,ESLData!$B$1:$B$9955,0))</f>
        <v>0</v>
      </c>
      <c r="J337" s="382" t="s">
        <v>1304</v>
      </c>
      <c r="K337" s="368" t="str">
        <f>IF(ISNA(HLOOKUP("start",ESLData!C$1:C$9955,MATCH($A337,ESLData!$B$1:$B$9955,0))),"",HLOOKUP("start",ESLData!C$1:C$9955,MATCH($A337,ESLData!$B$1:$B$9955,0)))</f>
        <v>DOM Expenses</v>
      </c>
    </row>
    <row r="338" spans="1:11" s="368" customFormat="1" ht="14.25" customHeight="1" x14ac:dyDescent="0.2">
      <c r="A338" s="364">
        <v>39210</v>
      </c>
      <c r="C338" s="363">
        <f>HLOOKUP("start",ESLData!E$1:E$9955,MATCH($A338,ESLData!$B$1:$B$9955,0))</f>
        <v>0</v>
      </c>
      <c r="E338" s="363">
        <f>HLOOKUP("start",ESLData!F$1:F$9955,MATCH($A338,ESLData!$B$1:$B$9955,0))</f>
        <v>100</v>
      </c>
      <c r="G338" s="363">
        <f>HLOOKUP("start",ESLData!H$1:H$9955,MATCH($A338,ESLData!$B$1:$B$9955,0))</f>
        <v>21.04</v>
      </c>
      <c r="J338" s="382" t="s">
        <v>1304</v>
      </c>
      <c r="K338" s="368" t="str">
        <f>IF(ISNA(HLOOKUP("start",ESLData!C$1:C$9955,MATCH($A338,ESLData!$B$1:$B$9955,0))),"",HLOOKUP("start",ESLData!C$1:C$9955,MATCH($A338,ESLData!$B$1:$B$9955,0)))</f>
        <v>Publications</v>
      </c>
    </row>
    <row r="339" spans="1:11" s="368" customFormat="1" ht="14.25" customHeight="1" x14ac:dyDescent="0.2">
      <c r="A339" s="364">
        <v>39211</v>
      </c>
      <c r="C339" s="363">
        <f>HLOOKUP("start",ESLData!E$1:E$9955,MATCH($A339,ESLData!$B$1:$B$9955,0))</f>
        <v>0</v>
      </c>
      <c r="E339" s="363">
        <f>HLOOKUP("start",ESLData!F$1:F$9955,MATCH($A339,ESLData!$B$1:$B$9955,0))</f>
        <v>100</v>
      </c>
      <c r="G339" s="363">
        <f>HLOOKUP("start",ESLData!H$1:H$9955,MATCH($A339,ESLData!$B$1:$B$9955,0))</f>
        <v>0</v>
      </c>
      <c r="J339" s="382" t="s">
        <v>1304</v>
      </c>
      <c r="K339" s="368" t="str">
        <f>IF(ISNA(HLOOKUP("start",ESLData!C$1:C$9955,MATCH($A339,ESLData!$B$1:$B$9955,0))),"",HLOOKUP("start",ESLData!C$1:C$9955,MATCH($A339,ESLData!$B$1:$B$9955,0)))</f>
        <v>Subs/Membership Fees</v>
      </c>
    </row>
    <row r="340" spans="1:11" s="368" customFormat="1" ht="14.25" customHeight="1" x14ac:dyDescent="0.2">
      <c r="A340" s="364">
        <v>39212</v>
      </c>
      <c r="C340" s="363">
        <f>HLOOKUP("start",ESLData!E$1:E$9955,MATCH($A340,ESLData!$B$1:$B$9955,0))</f>
        <v>0</v>
      </c>
      <c r="E340" s="363">
        <f>HLOOKUP("start",ESLData!F$1:F$9955,MATCH($A340,ESLData!$B$1:$B$9955,0))</f>
        <v>0</v>
      </c>
      <c r="G340" s="363">
        <f>HLOOKUP("start",ESLData!H$1:H$9955,MATCH($A340,ESLData!$B$1:$B$9955,0))</f>
        <v>0</v>
      </c>
      <c r="I340" s="380" t="s">
        <v>1302</v>
      </c>
      <c r="K340" s="368" t="str">
        <f>IF(ISNA(HLOOKUP("start",ESLData!C$1:C$9955,MATCH($A340,ESLData!$B$1:$B$9955,0))),"",HLOOKUP("start",ESLData!C$1:C$9955,MATCH($A340,ESLData!$B$1:$B$9955,0)))</f>
        <v>Muffin Break</v>
      </c>
    </row>
    <row r="341" spans="1:11" s="368" customFormat="1" ht="14.25" customHeight="1" x14ac:dyDescent="0.2">
      <c r="A341" s="364">
        <v>39214</v>
      </c>
      <c r="C341" s="363">
        <f>HLOOKUP("start",ESLData!E$1:E$9955,MATCH($A341,ESLData!$B$1:$B$9955,0))</f>
        <v>417.18</v>
      </c>
      <c r="E341" s="363">
        <f>HLOOKUP("start",ESLData!F$1:F$9955,MATCH($A341,ESLData!$B$1:$B$9955,0))</f>
        <v>250</v>
      </c>
      <c r="G341" s="363">
        <f>HLOOKUP("start",ESLData!H$1:H$9955,MATCH($A341,ESLData!$B$1:$B$9955,0))</f>
        <v>0</v>
      </c>
      <c r="J341" s="382" t="s">
        <v>1304</v>
      </c>
      <c r="K341" s="368" t="str">
        <f>IF(ISNA(HLOOKUP("start",ESLData!C$1:C$9955,MATCH($A341,ESLData!$B$1:$B$9955,0))),"",HLOOKUP("start",ESLData!C$1:C$9955,MATCH($A341,ESLData!$B$1:$B$9955,0)))</f>
        <v>Educational Resources</v>
      </c>
    </row>
    <row r="342" spans="1:11" s="368" customFormat="1" ht="14.25" customHeight="1" x14ac:dyDescent="0.2">
      <c r="A342" s="364">
        <v>39215</v>
      </c>
      <c r="C342" s="363">
        <f>HLOOKUP("start",ESLData!E$1:E$9955,MATCH($A342,ESLData!$B$1:$B$9955,0))</f>
        <v>0</v>
      </c>
      <c r="E342" s="363">
        <f>HLOOKUP("start",ESLData!F$1:F$9955,MATCH($A342,ESLData!$B$1:$B$9955,0))</f>
        <v>200</v>
      </c>
      <c r="G342" s="363">
        <f>HLOOKUP("start",ESLData!H$1:H$9955,MATCH($A342,ESLData!$B$1:$B$9955,0))</f>
        <v>200</v>
      </c>
      <c r="J342" s="382" t="s">
        <v>1304</v>
      </c>
      <c r="K342" s="368" t="str">
        <f>IF(ISNA(HLOOKUP("start",ESLData!C$1:C$9955,MATCH($A342,ESLData!$B$1:$B$9955,0))),"",HLOOKUP("start",ESLData!C$1:C$9955,MATCH($A342,ESLData!$B$1:$B$9955,0)))</f>
        <v>DOM Expenses</v>
      </c>
    </row>
    <row r="343" spans="1:11" s="368" customFormat="1" ht="14.25" customHeight="1" x14ac:dyDescent="0.2">
      <c r="A343" s="364">
        <v>39260</v>
      </c>
      <c r="C343" s="363">
        <f>HLOOKUP("start",ESLData!E$1:E$9955,MATCH($A343,ESLData!$B$1:$B$9955,0))</f>
        <v>0</v>
      </c>
      <c r="E343" s="363">
        <f>HLOOKUP("start",ESLData!F$1:F$9955,MATCH($A343,ESLData!$B$1:$B$9955,0))</f>
        <v>100</v>
      </c>
      <c r="G343" s="363">
        <f>HLOOKUP("start",ESLData!H$1:H$9955,MATCH($A343,ESLData!$B$1:$B$9955,0))</f>
        <v>127.08</v>
      </c>
      <c r="J343" s="382" t="s">
        <v>1304</v>
      </c>
      <c r="K343" s="368" t="str">
        <f>IF(ISNA(HLOOKUP("start",ESLData!C$1:C$9955,MATCH($A343,ESLData!$B$1:$B$9955,0))),"",HLOOKUP("start",ESLData!C$1:C$9955,MATCH($A343,ESLData!$B$1:$B$9955,0)))</f>
        <v>Publications</v>
      </c>
    </row>
    <row r="344" spans="1:11" s="368" customFormat="1" ht="14.25" customHeight="1" x14ac:dyDescent="0.2">
      <c r="A344" s="364">
        <v>39261</v>
      </c>
      <c r="C344" s="363">
        <f>HLOOKUP("start",ESLData!E$1:E$9955,MATCH($A344,ESLData!$B$1:$B$9955,0))</f>
        <v>72.319999999999993</v>
      </c>
      <c r="E344" s="363">
        <f>HLOOKUP("start",ESLData!F$1:F$9955,MATCH($A344,ESLData!$B$1:$B$9955,0))</f>
        <v>110</v>
      </c>
      <c r="G344" s="363">
        <f>HLOOKUP("start",ESLData!H$1:H$9955,MATCH($A344,ESLData!$B$1:$B$9955,0))</f>
        <v>0</v>
      </c>
      <c r="J344" s="382" t="s">
        <v>1304</v>
      </c>
      <c r="K344" s="368" t="str">
        <f>IF(ISNA(HLOOKUP("start",ESLData!C$1:C$9955,MATCH($A344,ESLData!$B$1:$B$9955,0))),"",HLOOKUP("start",ESLData!C$1:C$9955,MATCH($A344,ESLData!$B$1:$B$9955,0)))</f>
        <v>Subs/Membership Fees</v>
      </c>
    </row>
    <row r="345" spans="1:11" s="368" customFormat="1" ht="14.25" customHeight="1" x14ac:dyDescent="0.2">
      <c r="A345" s="364">
        <v>39262</v>
      </c>
      <c r="C345" s="363">
        <f>HLOOKUP("start",ESLData!E$1:E$9955,MATCH($A345,ESLData!$B$1:$B$9955,0))</f>
        <v>0</v>
      </c>
      <c r="E345" s="363">
        <f>HLOOKUP("start",ESLData!F$1:F$9955,MATCH($A345,ESLData!$B$1:$B$9955,0))</f>
        <v>0</v>
      </c>
      <c r="G345" s="363">
        <f>HLOOKUP("start",ESLData!H$1:H$9955,MATCH($A345,ESLData!$B$1:$B$9955,0))</f>
        <v>0</v>
      </c>
      <c r="I345" s="380" t="s">
        <v>1302</v>
      </c>
      <c r="K345" s="368" t="str">
        <f>IF(ISNA(HLOOKUP("start",ESLData!C$1:C$9955,MATCH($A345,ESLData!$B$1:$B$9955,0))),"",HLOOKUP("start",ESLData!C$1:C$9955,MATCH($A345,ESLData!$B$1:$B$9955,0)))</f>
        <v>Muffin Break</v>
      </c>
    </row>
    <row r="346" spans="1:11" s="368" customFormat="1" ht="14.25" customHeight="1" x14ac:dyDescent="0.2">
      <c r="A346" s="364">
        <v>39263</v>
      </c>
      <c r="C346" s="363">
        <f>HLOOKUP("start",ESLData!E$1:E$9955,MATCH($A346,ESLData!$B$1:$B$9955,0))</f>
        <v>265.51</v>
      </c>
      <c r="E346" s="363">
        <f>HLOOKUP("start",ESLData!F$1:F$9955,MATCH($A346,ESLData!$B$1:$B$9955,0))</f>
        <v>750</v>
      </c>
      <c r="G346" s="363">
        <f>HLOOKUP("start",ESLData!H$1:H$9955,MATCH($A346,ESLData!$B$1:$B$9955,0))</f>
        <v>263.56</v>
      </c>
      <c r="J346" s="382" t="s">
        <v>1304</v>
      </c>
      <c r="K346" s="368" t="str">
        <f>IF(ISNA(HLOOKUP("start",ESLData!C$1:C$9955,MATCH($A346,ESLData!$B$1:$B$9955,0))),"",HLOOKUP("start",ESLData!C$1:C$9955,MATCH($A346,ESLData!$B$1:$B$9955,0)))</f>
        <v>Inservice Course Expenses</v>
      </c>
    </row>
    <row r="347" spans="1:11" s="368" customFormat="1" ht="14.25" customHeight="1" x14ac:dyDescent="0.2">
      <c r="A347" s="364">
        <v>39264</v>
      </c>
      <c r="C347" s="363">
        <f>HLOOKUP("start",ESLData!E$1:E$9955,MATCH($A347,ESLData!$B$1:$B$9955,0))</f>
        <v>199.56</v>
      </c>
      <c r="E347" s="363">
        <f>HLOOKUP("start",ESLData!F$1:F$9955,MATCH($A347,ESLData!$B$1:$B$9955,0))</f>
        <v>200</v>
      </c>
      <c r="G347" s="363">
        <f>HLOOKUP("start",ESLData!H$1:H$9955,MATCH($A347,ESLData!$B$1:$B$9955,0))</f>
        <v>222.65</v>
      </c>
      <c r="J347" s="382" t="s">
        <v>1304</v>
      </c>
      <c r="K347" s="368" t="str">
        <f>IF(ISNA(HLOOKUP("start",ESLData!C$1:C$9955,MATCH($A347,ESLData!$B$1:$B$9955,0))),"",HLOOKUP("start",ESLData!C$1:C$9955,MATCH($A347,ESLData!$B$1:$B$9955,0)))</f>
        <v>DOM Expenses</v>
      </c>
    </row>
    <row r="348" spans="1:11" s="368" customFormat="1" ht="14.25" customHeight="1" x14ac:dyDescent="0.2">
      <c r="A348" s="364">
        <v>39265</v>
      </c>
      <c r="C348" s="363">
        <f>HLOOKUP("start",ESLData!E$1:E$9955,MATCH($A348,ESLData!$B$1:$B$9955,0))</f>
        <v>0</v>
      </c>
      <c r="E348" s="363">
        <f>HLOOKUP("start",ESLData!F$1:F$9955,MATCH($A348,ESLData!$B$1:$B$9955,0))</f>
        <v>0</v>
      </c>
      <c r="G348" s="363">
        <f>HLOOKUP("start",ESLData!H$1:H$9955,MATCH($A348,ESLData!$B$1:$B$9955,0))</f>
        <v>0</v>
      </c>
      <c r="I348" s="380" t="s">
        <v>1302</v>
      </c>
      <c r="K348" s="368" t="str">
        <f>IF(ISNA(HLOOKUP("start",ESLData!C$1:C$9955,MATCH($A348,ESLData!$B$1:$B$9955,0))),"",HLOOKUP("start",ESLData!C$1:C$9955,MATCH($A348,ESLData!$B$1:$B$9955,0)))</f>
        <v>Itinerant Music Costs</v>
      </c>
    </row>
    <row r="349" spans="1:11" s="368" customFormat="1" ht="14.25" customHeight="1" x14ac:dyDescent="0.2">
      <c r="A349" s="364">
        <v>39311</v>
      </c>
      <c r="C349" s="363">
        <f>HLOOKUP("start",ESLData!E$1:E$9955,MATCH($A349,ESLData!$B$1:$B$9955,0))</f>
        <v>0</v>
      </c>
      <c r="E349" s="363">
        <f>HLOOKUP("start",ESLData!F$1:F$9955,MATCH($A349,ESLData!$B$1:$B$9955,0))</f>
        <v>100</v>
      </c>
      <c r="G349" s="363">
        <f>HLOOKUP("start",ESLData!H$1:H$9955,MATCH($A349,ESLData!$B$1:$B$9955,0))</f>
        <v>0</v>
      </c>
      <c r="J349" s="382" t="s">
        <v>1304</v>
      </c>
      <c r="K349" s="368" t="str">
        <f>IF(ISNA(HLOOKUP("start",ESLData!C$1:C$9955,MATCH($A349,ESLData!$B$1:$B$9955,0))),"",HLOOKUP("start",ESLData!C$1:C$9955,MATCH($A349,ESLData!$B$1:$B$9955,0)))</f>
        <v>Subs/Membership Fees</v>
      </c>
    </row>
    <row r="350" spans="1:11" s="368" customFormat="1" ht="14.25" customHeight="1" x14ac:dyDescent="0.2">
      <c r="A350" s="364">
        <v>39312</v>
      </c>
      <c r="C350" s="363">
        <f>HLOOKUP("start",ESLData!E$1:E$9955,MATCH($A350,ESLData!$B$1:$B$9955,0))</f>
        <v>0</v>
      </c>
      <c r="E350" s="363">
        <f>HLOOKUP("start",ESLData!F$1:F$9955,MATCH($A350,ESLData!$B$1:$B$9955,0))</f>
        <v>0</v>
      </c>
      <c r="G350" s="363">
        <f>HLOOKUP("start",ESLData!H$1:H$9955,MATCH($A350,ESLData!$B$1:$B$9955,0))</f>
        <v>0</v>
      </c>
      <c r="I350" s="380" t="s">
        <v>1302</v>
      </c>
      <c r="K350" s="368" t="str">
        <f>IF(ISNA(HLOOKUP("start",ESLData!C$1:C$9955,MATCH($A350,ESLData!$B$1:$B$9955,0))),"",HLOOKUP("start",ESLData!C$1:C$9955,MATCH($A350,ESLData!$B$1:$B$9955,0)))</f>
        <v>Muffin Break</v>
      </c>
    </row>
    <row r="351" spans="1:11" s="368" customFormat="1" ht="14.25" customHeight="1" x14ac:dyDescent="0.2">
      <c r="A351" s="364">
        <v>39313</v>
      </c>
      <c r="C351" s="363">
        <f>HLOOKUP("start",ESLData!E$1:E$9955,MATCH($A351,ESLData!$B$1:$B$9955,0))</f>
        <v>1711.25</v>
      </c>
      <c r="E351" s="363">
        <f>HLOOKUP("start",ESLData!F$1:F$9955,MATCH($A351,ESLData!$B$1:$B$9955,0))</f>
        <v>2500</v>
      </c>
      <c r="G351" s="363">
        <f>HLOOKUP("start",ESLData!H$1:H$9955,MATCH($A351,ESLData!$B$1:$B$9955,0))</f>
        <v>2239.29</v>
      </c>
      <c r="J351" s="382" t="s">
        <v>1304</v>
      </c>
      <c r="K351" s="368" t="str">
        <f>IF(ISNA(HLOOKUP("start",ESLData!C$1:C$9955,MATCH($A351,ESLData!$B$1:$B$9955,0))),"",HLOOKUP("start",ESLData!C$1:C$9955,MATCH($A351,ESLData!$B$1:$B$9955,0)))</f>
        <v>Teaching Resources</v>
      </c>
    </row>
    <row r="352" spans="1:11" s="368" customFormat="1" ht="14.25" customHeight="1" x14ac:dyDescent="0.2">
      <c r="A352" s="364">
        <v>39314</v>
      </c>
      <c r="C352" s="363">
        <f>HLOOKUP("start",ESLData!E$1:E$9955,MATCH($A352,ESLData!$B$1:$B$9955,0))</f>
        <v>415.66</v>
      </c>
      <c r="E352" s="363">
        <f>HLOOKUP("start",ESLData!F$1:F$9955,MATCH($A352,ESLData!$B$1:$B$9955,0))</f>
        <v>500</v>
      </c>
      <c r="G352" s="363">
        <f>HLOOKUP("start",ESLData!H$1:H$9955,MATCH($A352,ESLData!$B$1:$B$9955,0))</f>
        <v>259.99</v>
      </c>
      <c r="J352" s="382" t="s">
        <v>1304</v>
      </c>
      <c r="K352" s="368" t="str">
        <f>IF(ISNA(HLOOKUP("start",ESLData!C$1:C$9955,MATCH($A352,ESLData!$B$1:$B$9955,0))),"",HLOOKUP("start",ESLData!C$1:C$9955,MATCH($A352,ESLData!$B$1:$B$9955,0)))</f>
        <v>Professional Materials</v>
      </c>
    </row>
    <row r="353" spans="1:11" s="368" customFormat="1" ht="14.25" customHeight="1" x14ac:dyDescent="0.2">
      <c r="A353" s="364">
        <v>39315</v>
      </c>
      <c r="C353" s="363">
        <f>HLOOKUP("start",ESLData!E$1:E$9955,MATCH($A353,ESLData!$B$1:$B$9955,0))</f>
        <v>18.97</v>
      </c>
      <c r="E353" s="363">
        <f>HLOOKUP("start",ESLData!F$1:F$9955,MATCH($A353,ESLData!$B$1:$B$9955,0))</f>
        <v>200</v>
      </c>
      <c r="G353" s="363">
        <f>HLOOKUP("start",ESLData!H$1:H$9955,MATCH($A353,ESLData!$B$1:$B$9955,0))</f>
        <v>13.03</v>
      </c>
      <c r="J353" s="382" t="s">
        <v>1304</v>
      </c>
      <c r="K353" s="368" t="str">
        <f>IF(ISNA(HLOOKUP("start",ESLData!C$1:C$9955,MATCH($A353,ESLData!$B$1:$B$9955,0))),"",HLOOKUP("start",ESLData!C$1:C$9955,MATCH($A353,ESLData!$B$1:$B$9955,0)))</f>
        <v>DOM Expenses</v>
      </c>
    </row>
    <row r="354" spans="1:11" s="368" customFormat="1" ht="14.25" customHeight="1" x14ac:dyDescent="0.2">
      <c r="A354" s="364">
        <v>39360</v>
      </c>
      <c r="C354" s="363">
        <f>HLOOKUP("start",ESLData!E$1:E$9955,MATCH($A354,ESLData!$B$1:$B$9955,0))</f>
        <v>164.32</v>
      </c>
      <c r="E354" s="363">
        <f>HLOOKUP("start",ESLData!F$1:F$9955,MATCH($A354,ESLData!$B$1:$B$9955,0))</f>
        <v>200</v>
      </c>
      <c r="G354" s="363">
        <f>HLOOKUP("start",ESLData!H$1:H$9955,MATCH($A354,ESLData!$B$1:$B$9955,0))</f>
        <v>202.2</v>
      </c>
      <c r="J354" s="382" t="s">
        <v>1304</v>
      </c>
      <c r="K354" s="368" t="str">
        <f>IF(ISNA(HLOOKUP("start",ESLData!C$1:C$9955,MATCH($A354,ESLData!$B$1:$B$9955,0))),"",HLOOKUP("start",ESLData!C$1:C$9955,MATCH($A354,ESLData!$B$1:$B$9955,0)))</f>
        <v>Publications</v>
      </c>
    </row>
    <row r="355" spans="1:11" s="368" customFormat="1" ht="14.25" customHeight="1" x14ac:dyDescent="0.2">
      <c r="A355" s="364">
        <v>39361</v>
      </c>
      <c r="C355" s="363">
        <f>HLOOKUP("start",ESLData!E$1:E$9955,MATCH($A355,ESLData!$B$1:$B$9955,0))</f>
        <v>0</v>
      </c>
      <c r="E355" s="363">
        <f>HLOOKUP("start",ESLData!F$1:F$9955,MATCH($A355,ESLData!$B$1:$B$9955,0))</f>
        <v>100</v>
      </c>
      <c r="G355" s="363">
        <f>HLOOKUP("start",ESLData!H$1:H$9955,MATCH($A355,ESLData!$B$1:$B$9955,0))</f>
        <v>0</v>
      </c>
      <c r="J355" s="382" t="s">
        <v>1304</v>
      </c>
      <c r="K355" s="368" t="str">
        <f>IF(ISNA(HLOOKUP("start",ESLData!C$1:C$9955,MATCH($A355,ESLData!$B$1:$B$9955,0))),"",HLOOKUP("start",ESLData!C$1:C$9955,MATCH($A355,ESLData!$B$1:$B$9955,0)))</f>
        <v>Subs/Membership Fees</v>
      </c>
    </row>
    <row r="356" spans="1:11" s="368" customFormat="1" ht="14.25" customHeight="1" x14ac:dyDescent="0.2">
      <c r="A356" s="364">
        <v>39363</v>
      </c>
      <c r="C356" s="363">
        <f>HLOOKUP("start",ESLData!E$1:E$9955,MATCH($A356,ESLData!$B$1:$B$9955,0))</f>
        <v>1488.15</v>
      </c>
      <c r="E356" s="363">
        <f>HLOOKUP("start",ESLData!F$1:F$9955,MATCH($A356,ESLData!$B$1:$B$9955,0))</f>
        <v>1500</v>
      </c>
      <c r="G356" s="363">
        <f>HLOOKUP("start",ESLData!H$1:H$9955,MATCH($A356,ESLData!$B$1:$B$9955,0))</f>
        <v>1691.64</v>
      </c>
      <c r="J356" s="382" t="s">
        <v>1304</v>
      </c>
      <c r="K356" s="368" t="str">
        <f>IF(ISNA(HLOOKUP("start",ESLData!C$1:C$9955,MATCH($A356,ESLData!$B$1:$B$9955,0))),"",HLOOKUP("start",ESLData!C$1:C$9955,MATCH($A356,ESLData!$B$1:$B$9955,0)))</f>
        <v>Educational Resources</v>
      </c>
    </row>
    <row r="357" spans="1:11" s="368" customFormat="1" ht="14.25" customHeight="1" x14ac:dyDescent="0.2">
      <c r="A357" s="364">
        <v>39365</v>
      </c>
      <c r="C357" s="363">
        <f>HLOOKUP("start",ESLData!E$1:E$9955,MATCH($A357,ESLData!$B$1:$B$9955,0))</f>
        <v>86.96</v>
      </c>
      <c r="E357" s="363">
        <f>HLOOKUP("start",ESLData!F$1:F$9955,MATCH($A357,ESLData!$B$1:$B$9955,0))</f>
        <v>200</v>
      </c>
      <c r="G357" s="363">
        <f>HLOOKUP("start",ESLData!H$1:H$9955,MATCH($A357,ESLData!$B$1:$B$9955,0))</f>
        <v>63.04</v>
      </c>
      <c r="J357" s="382" t="s">
        <v>1304</v>
      </c>
      <c r="K357" s="368" t="str">
        <f>IF(ISNA(HLOOKUP("start",ESLData!C$1:C$9955,MATCH($A357,ESLData!$B$1:$B$9955,0))),"",HLOOKUP("start",ESLData!C$1:C$9955,MATCH($A357,ESLData!$B$1:$B$9955,0)))</f>
        <v>DOM Expenses</v>
      </c>
    </row>
    <row r="358" spans="1:11" s="368" customFormat="1" ht="14.25" customHeight="1" x14ac:dyDescent="0.2">
      <c r="A358" s="364">
        <v>39440</v>
      </c>
      <c r="C358" s="363">
        <f>HLOOKUP("start",ESLData!E$1:E$9955,MATCH($A358,ESLData!$B$1:$B$9955,0))</f>
        <v>60.15</v>
      </c>
      <c r="E358" s="363">
        <f>HLOOKUP("start",ESLData!F$1:F$9955,MATCH($A358,ESLData!$B$1:$B$9955,0))</f>
        <v>100</v>
      </c>
      <c r="G358" s="363">
        <f>HLOOKUP("start",ESLData!H$1:H$9955,MATCH($A358,ESLData!$B$1:$B$9955,0))</f>
        <v>110.91</v>
      </c>
      <c r="J358" s="382" t="s">
        <v>1304</v>
      </c>
      <c r="K358" s="368" t="str">
        <f>IF(ISNA(HLOOKUP("start",ESLData!C$1:C$9955,MATCH($A358,ESLData!$B$1:$B$9955,0))),"",HLOOKUP("start",ESLData!C$1:C$9955,MATCH($A358,ESLData!$B$1:$B$9955,0)))</f>
        <v>Publications</v>
      </c>
    </row>
    <row r="359" spans="1:11" s="368" customFormat="1" ht="14.25" customHeight="1" x14ac:dyDescent="0.2">
      <c r="A359" s="364">
        <v>39445</v>
      </c>
      <c r="C359" s="363">
        <f>HLOOKUP("start",ESLData!E$1:E$9955,MATCH($A359,ESLData!$B$1:$B$9955,0))</f>
        <v>0</v>
      </c>
      <c r="E359" s="363">
        <f>HLOOKUP("start",ESLData!F$1:F$9955,MATCH($A359,ESLData!$B$1:$B$9955,0))</f>
        <v>0</v>
      </c>
      <c r="G359" s="363">
        <f>HLOOKUP("start",ESLData!H$1:H$9955,MATCH($A359,ESLData!$B$1:$B$9955,0))</f>
        <v>0</v>
      </c>
      <c r="I359" s="380" t="s">
        <v>1302</v>
      </c>
      <c r="K359" s="368" t="str">
        <f>IF(ISNA(HLOOKUP("start",ESLData!C$1:C$9955,MATCH($A359,ESLData!$B$1:$B$9955,0))),"",HLOOKUP("start",ESLData!C$1:C$9955,MATCH($A359,ESLData!$B$1:$B$9955,0)))</f>
        <v>Photocopying</v>
      </c>
    </row>
    <row r="360" spans="1:11" s="368" customFormat="1" ht="14.25" customHeight="1" x14ac:dyDescent="0.2">
      <c r="A360" s="364">
        <v>39450</v>
      </c>
      <c r="C360" s="363">
        <f>HLOOKUP("start",ESLData!E$1:E$9955,MATCH($A360,ESLData!$B$1:$B$9955,0))</f>
        <v>0</v>
      </c>
      <c r="E360" s="363">
        <f>HLOOKUP("start",ESLData!F$1:F$9955,MATCH($A360,ESLData!$B$1:$B$9955,0))</f>
        <v>100</v>
      </c>
      <c r="G360" s="363">
        <f>HLOOKUP("start",ESLData!H$1:H$9955,MATCH($A360,ESLData!$B$1:$B$9955,0))</f>
        <v>0</v>
      </c>
      <c r="J360" s="382" t="s">
        <v>1304</v>
      </c>
      <c r="K360" s="368" t="str">
        <f>IF(ISNA(HLOOKUP("start",ESLData!C$1:C$9955,MATCH($A360,ESLData!$B$1:$B$9955,0))),"",HLOOKUP("start",ESLData!C$1:C$9955,MATCH($A360,ESLData!$B$1:$B$9955,0)))</f>
        <v>Subs/Membership Fees</v>
      </c>
    </row>
    <row r="361" spans="1:11" s="368" customFormat="1" ht="14.25" customHeight="1" x14ac:dyDescent="0.2">
      <c r="A361" s="364">
        <v>39470</v>
      </c>
      <c r="C361" s="363">
        <f>HLOOKUP("start",ESLData!E$1:E$9955,MATCH($A361,ESLData!$B$1:$B$9955,0))</f>
        <v>79.12</v>
      </c>
      <c r="E361" s="363">
        <f>HLOOKUP("start",ESLData!F$1:F$9955,MATCH($A361,ESLData!$B$1:$B$9955,0))</f>
        <v>200</v>
      </c>
      <c r="G361" s="363">
        <f>HLOOKUP("start",ESLData!H$1:H$9955,MATCH($A361,ESLData!$B$1:$B$9955,0))</f>
        <v>176.46</v>
      </c>
      <c r="J361" s="382" t="s">
        <v>1304</v>
      </c>
      <c r="K361" s="368" t="str">
        <f>IF(ISNA(HLOOKUP("start",ESLData!C$1:C$9955,MATCH($A361,ESLData!$B$1:$B$9955,0))),"",HLOOKUP("start",ESLData!C$1:C$9955,MATCH($A361,ESLData!$B$1:$B$9955,0)))</f>
        <v>DOM Expenses</v>
      </c>
    </row>
    <row r="362" spans="1:11" s="368" customFormat="1" ht="14.25" customHeight="1" x14ac:dyDescent="0.2">
      <c r="A362" s="364">
        <v>35875</v>
      </c>
      <c r="C362" s="363">
        <f>HLOOKUP("start",ESLData!E$1:E$9955,MATCH($A362,ESLData!$B$1:$B$9955,0))</f>
        <v>195.59</v>
      </c>
      <c r="D362" s="369"/>
      <c r="E362" s="363">
        <f>HLOOKUP("start",ESLData!F$1:F$9955,MATCH($A362,ESLData!$B$1:$B$9955,0))</f>
        <v>200</v>
      </c>
      <c r="F362" s="369"/>
      <c r="G362" s="363">
        <f>HLOOKUP("start",ESLData!H$1:H$9955,MATCH($A362,ESLData!$B$1:$B$9955,0))</f>
        <v>165.07</v>
      </c>
      <c r="H362" s="369"/>
      <c r="J362" s="382" t="s">
        <v>1304</v>
      </c>
      <c r="K362" s="368" t="str">
        <f>IF(ISNA(HLOOKUP("start",ESLData!C$1:C$9955,MATCH($A362,ESLData!$B$1:$B$9955,0))),"",HLOOKUP("start",ESLData!C$1:C$9955,MATCH($A362,ESLData!$B$1:$B$9955,0)))</f>
        <v>Teaching Resources</v>
      </c>
    </row>
    <row r="363" spans="1:11" s="368" customFormat="1" ht="14.25" customHeight="1" x14ac:dyDescent="0.2">
      <c r="A363" s="364">
        <v>35801</v>
      </c>
      <c r="C363" s="363">
        <f>HLOOKUP("start",ESLData!E$1:E$9955,MATCH($A363,ESLData!$B$1:$B$9955,0))</f>
        <v>8885.27</v>
      </c>
      <c r="E363" s="363">
        <f>HLOOKUP("start",ESLData!F$1:F$9955,MATCH($A363,ESLData!$B$1:$B$9955,0))</f>
        <v>10365</v>
      </c>
      <c r="G363" s="363">
        <f>HLOOKUP("start",ESLData!H$1:H$9955,MATCH($A363,ESLData!$B$1:$B$9955,0))</f>
        <v>5058.38</v>
      </c>
      <c r="J363" s="382" t="s">
        <v>1304</v>
      </c>
      <c r="K363" s="368" t="str">
        <f>IF(ISNA(HLOOKUP("start",ESLData!C$1:C$9955,MATCH($A363,ESLData!$B$1:$B$9955,0))),"",HLOOKUP("start",ESLData!C$1:C$9955,MATCH($A363,ESLData!$B$1:$B$9955,0)))</f>
        <v>Music School Contract Workers</v>
      </c>
    </row>
    <row r="364" spans="1:11" s="368" customFormat="1" ht="14.25" customHeight="1" x14ac:dyDescent="0.2">
      <c r="A364" s="364">
        <v>46888</v>
      </c>
      <c r="C364" s="363">
        <f>HLOOKUP("start",ESLData!E$1:E$9955,MATCH($A364,ESLData!$B$1:$B$9955,0))</f>
        <v>77603.350000000006</v>
      </c>
      <c r="E364" s="363">
        <f>HLOOKUP("start",ESLData!F$1:F$9955,MATCH($A364,ESLData!$B$1:$B$9955,0))</f>
        <v>60000</v>
      </c>
      <c r="G364" s="363">
        <f>HLOOKUP("start",ESLData!H$1:H$9955,MATCH($A364,ESLData!$B$1:$B$9955,0))</f>
        <v>7799.42</v>
      </c>
      <c r="J364" s="382" t="s">
        <v>1304</v>
      </c>
      <c r="K364" s="368" t="str">
        <f>IF(ISNA(HLOOKUP("start",ESLData!C$1:C$9955,MATCH($A364,ESLData!$B$1:$B$9955,0))),"",HLOOKUP("start",ESLData!C$1:C$9955,MATCH($A364,ESLData!$B$1:$B$9955,0)))</f>
        <v>Pedagogy 1</v>
      </c>
    </row>
    <row r="365" spans="1:11" s="368" customFormat="1" ht="14.25" customHeight="1" x14ac:dyDescent="0.2">
      <c r="A365" s="364">
        <v>37251</v>
      </c>
      <c r="C365" s="363">
        <f>HLOOKUP("start",ESLData!E$1:E$9955,MATCH($A365,ESLData!$B$1:$B$9955,0))</f>
        <v>10250</v>
      </c>
      <c r="E365" s="363">
        <f>HLOOKUP("start",ESLData!F$1:F$9955,MATCH($A365,ESLData!$B$1:$B$9955,0))</f>
        <v>10000</v>
      </c>
      <c r="G365" s="363">
        <f>HLOOKUP("start",ESLData!H$1:H$9955,MATCH($A365,ESLData!$B$1:$B$9955,0))</f>
        <v>0</v>
      </c>
      <c r="J365" s="382" t="s">
        <v>1304</v>
      </c>
      <c r="K365" s="368" t="str">
        <f>IF(ISNA(HLOOKUP("start",ESLData!C$1:C$9955,MATCH($A365,ESLData!$B$1:$B$9955,0))),"",HLOOKUP("start",ESLData!C$1:C$9955,MATCH($A365,ESLData!$B$1:$B$9955,0)))</f>
        <v>Pedagogy 7</v>
      </c>
    </row>
    <row r="366" spans="1:11" s="368" customFormat="1" ht="14.25" customHeight="1" x14ac:dyDescent="0.2">
      <c r="A366" s="364">
        <v>35158</v>
      </c>
      <c r="C366" s="363">
        <f>HLOOKUP("start",ESLData!E$1:E$9955,MATCH($A366,ESLData!$B$1:$B$9955,0))</f>
        <v>1685.48</v>
      </c>
      <c r="E366" s="363">
        <f>HLOOKUP("start",ESLData!F$1:F$9955,MATCH($A366,ESLData!$B$1:$B$9955,0))</f>
        <v>0</v>
      </c>
      <c r="G366" s="363">
        <f>HLOOKUP("start",ESLData!H$1:H$9955,MATCH($A366,ESLData!$B$1:$B$9955,0))</f>
        <v>0</v>
      </c>
      <c r="J366" s="382" t="s">
        <v>1304</v>
      </c>
      <c r="K366" s="368" t="str">
        <f>IF(ISNA(HLOOKUP("start",ESLData!C$1:C$9955,MATCH($A366,ESLData!$B$1:$B$9955,0))),"",HLOOKUP("start",ESLData!C$1:C$9955,MATCH($A366,ESLData!$B$1:$B$9955,0)))</f>
        <v>Resource Production</v>
      </c>
    </row>
    <row r="367" spans="1:11" s="368" customFormat="1" ht="14.25" customHeight="1" x14ac:dyDescent="0.2">
      <c r="A367" s="364">
        <v>46665</v>
      </c>
      <c r="C367" s="363">
        <f>HLOOKUP("start",ESLData!E$1:E$9955,MATCH($A367,ESLData!$B$1:$B$9955,0))</f>
        <v>1846.94</v>
      </c>
      <c r="E367" s="363">
        <f>HLOOKUP("start",ESLData!F$1:F$9955,MATCH($A367,ESLData!$B$1:$B$9955,0))</f>
        <v>1000</v>
      </c>
      <c r="G367" s="363">
        <f>HLOOKUP("start",ESLData!H$1:H$9955,MATCH($A367,ESLData!$B$1:$B$9955,0))</f>
        <v>0</v>
      </c>
      <c r="J367" s="382" t="s">
        <v>1304</v>
      </c>
      <c r="K367" s="368" t="str">
        <f>IF(ISNA(HLOOKUP("start",ESLData!C$1:C$9955,MATCH($A367,ESLData!$B$1:$B$9955,0))),"",HLOOKUP("start",ESLData!C$1:C$9955,MATCH($A367,ESLData!$B$1:$B$9955,0)))</f>
        <v>Charter Consultation</v>
      </c>
    </row>
    <row r="368" spans="1:11" s="368" customFormat="1" ht="14.25" customHeight="1" x14ac:dyDescent="0.2">
      <c r="A368" s="364">
        <v>35178</v>
      </c>
      <c r="C368" s="363">
        <f>HLOOKUP("start",ESLData!E$1:E$9955,MATCH($A368,ESLData!$B$1:$B$9955,0))</f>
        <v>45849.65</v>
      </c>
      <c r="E368" s="363">
        <f>HLOOKUP("start",ESLData!F$1:F$9955,MATCH($A368,ESLData!$B$1:$B$9955,0))</f>
        <v>53000</v>
      </c>
      <c r="G368" s="363">
        <f>HLOOKUP("start",ESLData!H$1:H$9955,MATCH($A368,ESLData!$B$1:$B$9955,0))</f>
        <v>0</v>
      </c>
      <c r="J368" s="382" t="s">
        <v>1304</v>
      </c>
      <c r="K368" s="368" t="str">
        <f>IF(ISNA(HLOOKUP("start",ESLData!C$1:C$9955,MATCH($A368,ESLData!$B$1:$B$9955,0))),"",HLOOKUP("start",ESLData!C$1:C$9955,MATCH($A368,ESLData!$B$1:$B$9955,0)))</f>
        <v>VRC Property Costs</v>
      </c>
    </row>
    <row r="369" spans="1:11" s="368" customFormat="1" ht="14.25" customHeight="1" x14ac:dyDescent="0.2">
      <c r="A369" s="364">
        <v>35191</v>
      </c>
      <c r="C369" s="363">
        <f>HLOOKUP("start",ESLData!E$1:E$9955,MATCH($A369,ESLData!$B$1:$B$9955,0))</f>
        <v>1086.3599999999999</v>
      </c>
      <c r="E369" s="363">
        <f>HLOOKUP("start",ESLData!F$1:F$9955,MATCH($A369,ESLData!$B$1:$B$9955,0))</f>
        <v>0</v>
      </c>
      <c r="G369" s="363">
        <f>HLOOKUP("start",ESLData!H$1:H$9955,MATCH($A369,ESLData!$B$1:$B$9955,0))</f>
        <v>0</v>
      </c>
      <c r="J369" s="382" t="s">
        <v>1304</v>
      </c>
      <c r="K369" s="368" t="str">
        <f>IF(ISNA(HLOOKUP("start",ESLData!C$1:C$9955,MATCH($A369,ESLData!$B$1:$B$9955,0))),"",HLOOKUP("start",ESLData!C$1:C$9955,MATCH($A369,ESLData!$B$1:$B$9955,0)))</f>
        <v>VRC Offsite Parking costs</v>
      </c>
    </row>
    <row r="370" spans="1:11" s="368" customFormat="1" ht="14.25" customHeight="1" x14ac:dyDescent="0.2">
      <c r="A370" s="364">
        <v>35193</v>
      </c>
      <c r="C370" s="363">
        <f>HLOOKUP("start",ESLData!E$1:E$9955,MATCH($A370,ESLData!$B$1:$B$9955,0))</f>
        <v>186.79</v>
      </c>
      <c r="E370" s="363">
        <f>HLOOKUP("start",ESLData!F$1:F$9955,MATCH($A370,ESLData!$B$1:$B$9955,0))</f>
        <v>0</v>
      </c>
      <c r="G370" s="363">
        <f>HLOOKUP("start",ESLData!H$1:H$9955,MATCH($A370,ESLData!$B$1:$B$9955,0))</f>
        <v>0</v>
      </c>
      <c r="J370" s="382" t="s">
        <v>1304</v>
      </c>
      <c r="K370" s="368" t="str">
        <f>IF(ISNA(HLOOKUP("start",ESLData!C$1:C$9955,MATCH($A370,ESLData!$B$1:$B$9955,0))),"",HLOOKUP("start",ESLData!C$1:C$9955,MATCH($A370,ESLData!$B$1:$B$9955,0)))</f>
        <v>VRC Toll Road Charges</v>
      </c>
    </row>
    <row r="371" spans="1:11" s="368" customFormat="1" ht="14.25" customHeight="1" x14ac:dyDescent="0.2">
      <c r="A371" s="364">
        <v>35980</v>
      </c>
      <c r="C371" s="363">
        <f>HLOOKUP("start",ESLData!E$1:E$9955,MATCH($A371,ESLData!$B$1:$B$9955,0))</f>
        <v>5066.97</v>
      </c>
      <c r="E371" s="363">
        <f>HLOOKUP("start",ESLData!F$1:F$9955,MATCH($A371,ESLData!$B$1:$B$9955,0))</f>
        <v>10000</v>
      </c>
      <c r="G371" s="363">
        <f>HLOOKUP("start",ESLData!H$1:H$9955,MATCH($A371,ESLData!$B$1:$B$9955,0))</f>
        <v>7415.84</v>
      </c>
      <c r="H371" s="370"/>
      <c r="I371" s="370"/>
      <c r="J371" s="382" t="s">
        <v>1304</v>
      </c>
      <c r="K371" s="368" t="str">
        <f>IF(ISNA(HLOOKUP("start",ESLData!C$1:C$9955,MATCH($A371,ESLData!$B$1:$B$9955,0))),"",HLOOKUP("start",ESLData!C$1:C$9955,MATCH($A371,ESLData!$B$1:$B$9955,0)))</f>
        <v>Staff Travel/Accommodation Ec</v>
      </c>
    </row>
    <row r="372" spans="1:11" s="368" customFormat="1" ht="14.25" customHeight="1" x14ac:dyDescent="0.2">
      <c r="A372" s="364">
        <v>37160</v>
      </c>
      <c r="C372" s="363">
        <f>HLOOKUP("start",ESLData!E$1:E$9955,MATCH($A372,ESLData!$B$1:$B$9955,0))</f>
        <v>6973.83</v>
      </c>
      <c r="E372" s="363">
        <f>HLOOKUP("start",ESLData!F$1:F$9955,MATCH($A372,ESLData!$B$1:$B$9955,0))</f>
        <v>7000</v>
      </c>
      <c r="G372" s="363">
        <f>HLOOKUP("start",ESLData!H$1:H$9955,MATCH($A372,ESLData!$B$1:$B$9955,0))</f>
        <v>5227.95</v>
      </c>
      <c r="J372" s="382" t="s">
        <v>1304</v>
      </c>
      <c r="K372" s="368" t="str">
        <f>IF(ISNA(HLOOKUP("start",ESLData!C$1:C$9955,MATCH($A372,ESLData!$B$1:$B$9955,0))),"",HLOOKUP("start",ESLData!C$1:C$9955,MATCH($A372,ESLData!$B$1:$B$9955,0)))</f>
        <v>Consumables</v>
      </c>
    </row>
    <row r="373" spans="1:11" s="368" customFormat="1" ht="14.25" customHeight="1" x14ac:dyDescent="0.2">
      <c r="A373" s="364">
        <v>37180</v>
      </c>
      <c r="C373" s="363">
        <f>HLOOKUP("start",ESLData!E$1:E$9955,MATCH($A373,ESLData!$B$1:$B$9955,0))</f>
        <v>1553.15</v>
      </c>
      <c r="E373" s="363">
        <f>HLOOKUP("start",ESLData!F$1:F$9955,MATCH($A373,ESLData!$B$1:$B$9955,0))</f>
        <v>2500</v>
      </c>
      <c r="G373" s="363">
        <f>HLOOKUP("start",ESLData!H$1:H$9955,MATCH($A373,ESLData!$B$1:$B$9955,0))</f>
        <v>1753.1</v>
      </c>
      <c r="J373" s="382" t="s">
        <v>1304</v>
      </c>
      <c r="K373" s="368" t="str">
        <f>IF(ISNA(HLOOKUP("start",ESLData!C$1:C$9955,MATCH($A373,ESLData!$B$1:$B$9955,0))),"",HLOOKUP("start",ESLData!C$1:C$9955,MATCH($A373,ESLData!$B$1:$B$9955,0)))</f>
        <v>Photocopying</v>
      </c>
    </row>
    <row r="374" spans="1:11" s="368" customFormat="1" ht="14.25" customHeight="1" x14ac:dyDescent="0.2">
      <c r="A374" s="364">
        <v>37185</v>
      </c>
      <c r="C374" s="363">
        <f>HLOOKUP("start",ESLData!E$1:E$9955,MATCH($A374,ESLData!$B$1:$B$9955,0))</f>
        <v>1275.8399999999999</v>
      </c>
      <c r="E374" s="363">
        <f>HLOOKUP("start",ESLData!F$1:F$9955,MATCH($A374,ESLData!$B$1:$B$9955,0))</f>
        <v>2200</v>
      </c>
      <c r="G374" s="363">
        <f>HLOOKUP("start",ESLData!H$1:H$9955,MATCH($A374,ESLData!$B$1:$B$9955,0))</f>
        <v>1605.92</v>
      </c>
      <c r="J374" s="382" t="s">
        <v>1304</v>
      </c>
      <c r="K374" s="368" t="str">
        <f>IF(ISNA(HLOOKUP("start",ESLData!C$1:C$9955,MATCH($A374,ESLData!$B$1:$B$9955,0))),"",HLOOKUP("start",ESLData!C$1:C$9955,MATCH($A374,ESLData!$B$1:$B$9955,0)))</f>
        <v>Telephone Charges</v>
      </c>
    </row>
    <row r="375" spans="1:11" s="368" customFormat="1" ht="14.25" customHeight="1" x14ac:dyDescent="0.2">
      <c r="A375" s="364">
        <v>37187</v>
      </c>
      <c r="C375" s="363">
        <f>HLOOKUP("start",ESLData!E$1:E$9955,MATCH($A375,ESLData!$B$1:$B$9955,0))</f>
        <v>554.51</v>
      </c>
      <c r="E375" s="363">
        <f>HLOOKUP("start",ESLData!F$1:F$9955,MATCH($A375,ESLData!$B$1:$B$9955,0))</f>
        <v>750</v>
      </c>
      <c r="G375" s="363">
        <f>HLOOKUP("start",ESLData!H$1:H$9955,MATCH($A375,ESLData!$B$1:$B$9955,0))</f>
        <v>743.52</v>
      </c>
      <c r="J375" s="382" t="s">
        <v>1304</v>
      </c>
      <c r="K375" s="368" t="str">
        <f>IF(ISNA(HLOOKUP("start",ESLData!C$1:C$9955,MATCH($A375,ESLData!$B$1:$B$9955,0))),"",HLOOKUP("start",ESLData!C$1:C$9955,MATCH($A375,ESLData!$B$1:$B$9955,0)))</f>
        <v>Stationery</v>
      </c>
    </row>
    <row r="376" spans="1:11" s="368" customFormat="1" ht="14.25" customHeight="1" x14ac:dyDescent="0.2">
      <c r="A376" s="365">
        <v>37340</v>
      </c>
      <c r="C376" s="363">
        <f>HLOOKUP("start",ESLData!E$1:E$9955,MATCH($A376,ESLData!$B$1:$B$9955,0))</f>
        <v>33649.14</v>
      </c>
      <c r="E376" s="363">
        <f>HLOOKUP("start",ESLData!F$1:F$9955,MATCH($A376,ESLData!$B$1:$B$9955,0))</f>
        <v>30000</v>
      </c>
      <c r="G376" s="363">
        <f>HLOOKUP("start",ESLData!H$1:H$9955,MATCH($A376,ESLData!$B$1:$B$9955,0))</f>
        <v>33889.71</v>
      </c>
      <c r="J376" s="382" t="s">
        <v>1304</v>
      </c>
      <c r="K376" s="368" t="str">
        <f>IF(ISNA(HLOOKUP("start",ESLData!C$1:C$9955,MATCH($A376,ESLData!$B$1:$B$9955,0))),"",HLOOKUP("start",ESLData!C$1:C$9955,MATCH($A376,ESLData!$B$1:$B$9955,0)))</f>
        <v>Staff Travel &amp; Accommodation</v>
      </c>
    </row>
    <row r="377" spans="1:11" s="368" customFormat="1" ht="14.25" customHeight="1" x14ac:dyDescent="0.2">
      <c r="A377" s="364">
        <v>37520</v>
      </c>
      <c r="C377" s="363">
        <f>HLOOKUP("start",ESLData!E$1:E$9955,MATCH($A377,ESLData!$B$1:$B$9955,0))</f>
        <v>16739.509999999998</v>
      </c>
      <c r="E377" s="363">
        <f>HLOOKUP("start",ESLData!F$1:F$9955,MATCH($A377,ESLData!$B$1:$B$9955,0))</f>
        <v>10000</v>
      </c>
      <c r="G377" s="363">
        <f>HLOOKUP("start",ESLData!H$1:H$9955,MATCH($A377,ESLData!$B$1:$B$9955,0))</f>
        <v>6123.4</v>
      </c>
      <c r="J377" s="382" t="s">
        <v>1304</v>
      </c>
      <c r="K377" s="368" t="str">
        <f>IF(ISNA(HLOOKUP("start",ESLData!C$1:C$9955,MATCH($A377,ESLData!$B$1:$B$9955,0))),"",HLOOKUP("start",ESLData!C$1:C$9955,MATCH($A377,ESLData!$B$1:$B$9955,0)))</f>
        <v>Food</v>
      </c>
    </row>
    <row r="378" spans="1:11" s="368" customFormat="1" ht="14.25" customHeight="1" x14ac:dyDescent="0.2">
      <c r="A378" s="364">
        <v>37540</v>
      </c>
      <c r="C378" s="363">
        <f>HLOOKUP("start",ESLData!E$1:E$9955,MATCH($A378,ESLData!$B$1:$B$9955,0))</f>
        <v>0</v>
      </c>
      <c r="E378" s="363">
        <f>HLOOKUP("start",ESLData!F$1:F$9955,MATCH($A378,ESLData!$B$1:$B$9955,0))</f>
        <v>500</v>
      </c>
      <c r="G378" s="363">
        <f>HLOOKUP("start",ESLData!H$1:H$9955,MATCH($A378,ESLData!$B$1:$B$9955,0))</f>
        <v>13.15</v>
      </c>
      <c r="J378" s="382" t="s">
        <v>1304</v>
      </c>
      <c r="K378" s="368" t="str">
        <f>IF(ISNA(HLOOKUP("start",ESLData!C$1:C$9955,MATCH($A378,ESLData!$B$1:$B$9955,0))),"",HLOOKUP("start",ESLData!C$1:C$9955,MATCH($A378,ESLData!$B$1:$B$9955,0)))</f>
        <v>Consumables</v>
      </c>
    </row>
    <row r="379" spans="1:11" s="368" customFormat="1" ht="14.25" customHeight="1" x14ac:dyDescent="0.2">
      <c r="A379" s="364">
        <v>37600</v>
      </c>
      <c r="C379" s="363">
        <f>HLOOKUP("start",ESLData!E$1:E$9955,MATCH($A379,ESLData!$B$1:$B$9955,0))</f>
        <v>2775</v>
      </c>
      <c r="E379" s="363">
        <f>HLOOKUP("start",ESLData!F$1:F$9955,MATCH($A379,ESLData!$B$1:$B$9955,0))</f>
        <v>3700</v>
      </c>
      <c r="G379" s="363">
        <f>HLOOKUP("start",ESLData!H$1:H$9955,MATCH($A379,ESLData!$B$1:$B$9955,0))</f>
        <v>2128</v>
      </c>
      <c r="J379" s="382" t="s">
        <v>1304</v>
      </c>
      <c r="K379" s="368" t="str">
        <f>IF(ISNA(HLOOKUP("start",ESLData!C$1:C$9955,MATCH($A379,ESLData!$B$1:$B$9955,0))),"",HLOOKUP("start",ESLData!C$1:C$9955,MATCH($A379,ESLData!$B$1:$B$9955,0)))</f>
        <v>Vehicle Lease</v>
      </c>
    </row>
    <row r="380" spans="1:11" s="368" customFormat="1" ht="14.25" customHeight="1" x14ac:dyDescent="0.2">
      <c r="A380" s="364">
        <v>37610</v>
      </c>
      <c r="C380" s="363">
        <f>HLOOKUP("start",ESLData!E$1:E$9955,MATCH($A380,ESLData!$B$1:$B$9955,0))</f>
        <v>652.16999999999996</v>
      </c>
      <c r="E380" s="363">
        <f>HLOOKUP("start",ESLData!F$1:F$9955,MATCH($A380,ESLData!$B$1:$B$9955,0))</f>
        <v>750</v>
      </c>
      <c r="G380" s="363">
        <f>HLOOKUP("start",ESLData!H$1:H$9955,MATCH($A380,ESLData!$B$1:$B$9955,0))</f>
        <v>595.88</v>
      </c>
      <c r="J380" s="382" t="s">
        <v>1304</v>
      </c>
      <c r="K380" s="368" t="str">
        <f>IF(ISNA(HLOOKUP("start",ESLData!C$1:C$9955,MATCH($A380,ESLData!$B$1:$B$9955,0))),"",HLOOKUP("start",ESLData!C$1:C$9955,MATCH($A380,ESLData!$B$1:$B$9955,0)))</f>
        <v>Insurance</v>
      </c>
    </row>
    <row r="381" spans="1:11" s="368" customFormat="1" ht="14.25" customHeight="1" x14ac:dyDescent="0.2">
      <c r="A381" s="364">
        <v>37620</v>
      </c>
      <c r="C381" s="363">
        <f>HLOOKUP("start",ESLData!E$1:E$9955,MATCH($A381,ESLData!$B$1:$B$9955,0))</f>
        <v>790.68</v>
      </c>
      <c r="E381" s="363">
        <f>HLOOKUP("start",ESLData!F$1:F$9955,MATCH($A381,ESLData!$B$1:$B$9955,0))</f>
        <v>500</v>
      </c>
      <c r="G381" s="363">
        <f>HLOOKUP("start",ESLData!H$1:H$9955,MATCH($A381,ESLData!$B$1:$B$9955,0))</f>
        <v>516.23</v>
      </c>
      <c r="J381" s="382" t="s">
        <v>1304</v>
      </c>
      <c r="K381" s="368" t="str">
        <f>IF(ISNA(HLOOKUP("start",ESLData!C$1:C$9955,MATCH($A381,ESLData!$B$1:$B$9955,0))),"",HLOOKUP("start",ESLData!C$1:C$9955,MATCH($A381,ESLData!$B$1:$B$9955,0)))</f>
        <v>Petrol</v>
      </c>
    </row>
    <row r="382" spans="1:11" s="368" customFormat="1" ht="14.25" customHeight="1" x14ac:dyDescent="0.2">
      <c r="A382" s="364">
        <v>37630</v>
      </c>
      <c r="C382" s="363">
        <f>HLOOKUP("start",ESLData!E$1:E$9955,MATCH($A382,ESLData!$B$1:$B$9955,0))</f>
        <v>168.73</v>
      </c>
      <c r="E382" s="363">
        <f>HLOOKUP("start",ESLData!F$1:F$9955,MATCH($A382,ESLData!$B$1:$B$9955,0))</f>
        <v>450</v>
      </c>
      <c r="G382" s="363">
        <f>HLOOKUP("start",ESLData!H$1:H$9955,MATCH($A382,ESLData!$B$1:$B$9955,0))</f>
        <v>102.42</v>
      </c>
      <c r="J382" s="382" t="s">
        <v>1304</v>
      </c>
      <c r="K382" s="368" t="str">
        <f>IF(ISNA(HLOOKUP("start",ESLData!C$1:C$9955,MATCH($A382,ESLData!$B$1:$B$9955,0))),"",HLOOKUP("start",ESLData!C$1:C$9955,MATCH($A382,ESLData!$B$1:$B$9955,0)))</f>
        <v>Vehicle Registration</v>
      </c>
    </row>
    <row r="383" spans="1:11" s="368" customFormat="1" ht="14.25" customHeight="1" x14ac:dyDescent="0.2">
      <c r="A383" s="364">
        <v>37640</v>
      </c>
      <c r="C383" s="363">
        <f>HLOOKUP("start",ESLData!E$1:E$9955,MATCH($A383,ESLData!$B$1:$B$9955,0))</f>
        <v>291.13</v>
      </c>
      <c r="E383" s="363">
        <f>HLOOKUP("start",ESLData!F$1:F$9955,MATCH($A383,ESLData!$B$1:$B$9955,0))</f>
        <v>700</v>
      </c>
      <c r="G383" s="363">
        <f>HLOOKUP("start",ESLData!H$1:H$9955,MATCH($A383,ESLData!$B$1:$B$9955,0))</f>
        <v>585.63</v>
      </c>
      <c r="J383" s="382" t="s">
        <v>1304</v>
      </c>
      <c r="K383" s="368" t="str">
        <f>IF(ISNA(HLOOKUP("start",ESLData!C$1:C$9955,MATCH($A383,ESLData!$B$1:$B$9955,0))),"",HLOOKUP("start",ESLData!C$1:C$9955,MATCH($A383,ESLData!$B$1:$B$9955,0)))</f>
        <v>Vehicle R&amp;M</v>
      </c>
    </row>
    <row r="384" spans="1:11" s="368" customFormat="1" ht="14.25" customHeight="1" x14ac:dyDescent="0.2">
      <c r="A384" s="365">
        <v>37735</v>
      </c>
      <c r="C384" s="363">
        <f>HLOOKUP("start",ESLData!E$1:E$9955,MATCH($A384,ESLData!$B$1:$B$9955,0))</f>
        <v>-21.43</v>
      </c>
      <c r="E384" s="363">
        <f>HLOOKUP("start",ESLData!F$1:F$9955,MATCH($A384,ESLData!$B$1:$B$9955,0))</f>
        <v>500</v>
      </c>
      <c r="G384" s="363">
        <f>HLOOKUP("start",ESLData!H$1:H$9955,MATCH($A384,ESLData!$B$1:$B$9955,0))</f>
        <v>209.74</v>
      </c>
      <c r="J384" s="382" t="s">
        <v>1304</v>
      </c>
      <c r="K384" s="368" t="str">
        <f>IF(ISNA(HLOOKUP("start",ESLData!C$1:C$9955,MATCH($A384,ESLData!$B$1:$B$9955,0))),"",HLOOKUP("start",ESLData!C$1:C$9955,MATCH($A384,ESLData!$B$1:$B$9955,0)))</f>
        <v>Distance Braille - Consumables</v>
      </c>
    </row>
    <row r="385" spans="1:11" s="368" customFormat="1" ht="14.25" customHeight="1" x14ac:dyDescent="0.2">
      <c r="A385" s="364">
        <v>35181</v>
      </c>
      <c r="C385" s="363">
        <f>HLOOKUP("start",ESLData!E$1:E$9955,MATCH($A385,ESLData!$B$1:$B$9955,0))</f>
        <v>556.11</v>
      </c>
      <c r="E385" s="363">
        <f>HLOOKUP("start",ESLData!F$1:F$9955,MATCH($A385,ESLData!$B$1:$B$9955,0))</f>
        <v>800</v>
      </c>
      <c r="G385" s="363">
        <f>HLOOKUP("start",ESLData!H$1:H$9955,MATCH($A385,ESLData!$B$1:$B$9955,0))</f>
        <v>712.63</v>
      </c>
      <c r="J385" s="382" t="s">
        <v>1304</v>
      </c>
      <c r="K385" s="368" t="str">
        <f>IF(ISNA(HLOOKUP("start",ESLData!C$1:C$9955,MATCH($A385,ESLData!$B$1:$B$9955,0))),"",HLOOKUP("start",ESLData!C$1:C$9955,MATCH($A385,ESLData!$B$1:$B$9955,0)))</f>
        <v>Telephone</v>
      </c>
    </row>
    <row r="386" spans="1:11" s="368" customFormat="1" ht="14.25" customHeight="1" x14ac:dyDescent="0.2">
      <c r="A386" s="364">
        <v>35182</v>
      </c>
      <c r="C386" s="363">
        <f>HLOOKUP("start",ESLData!E$1:E$9955,MATCH($A386,ESLData!$B$1:$B$9955,0))</f>
        <v>652.45000000000005</v>
      </c>
      <c r="E386" s="363">
        <f>HLOOKUP("start",ESLData!F$1:F$9955,MATCH($A386,ESLData!$B$1:$B$9955,0))</f>
        <v>300</v>
      </c>
      <c r="G386" s="363">
        <f>HLOOKUP("start",ESLData!H$1:H$9955,MATCH($A386,ESLData!$B$1:$B$9955,0))</f>
        <v>346.95</v>
      </c>
      <c r="J386" s="382" t="s">
        <v>1304</v>
      </c>
      <c r="K386" s="368" t="str">
        <f>IF(ISNA(HLOOKUP("start",ESLData!C$1:C$9955,MATCH($A386,ESLData!$B$1:$B$9955,0))),"",HLOOKUP("start",ESLData!C$1:C$9955,MATCH($A386,ESLData!$B$1:$B$9955,0)))</f>
        <v>Photocopying</v>
      </c>
    </row>
    <row r="387" spans="1:11" s="368" customFormat="1" ht="14.25" customHeight="1" x14ac:dyDescent="0.2">
      <c r="A387" s="364">
        <v>35183</v>
      </c>
      <c r="C387" s="363">
        <f>HLOOKUP("start",ESLData!E$1:E$9955,MATCH($A387,ESLData!$B$1:$B$9955,0))</f>
        <v>64.23</v>
      </c>
      <c r="E387" s="363">
        <f>HLOOKUP("start",ESLData!F$1:F$9955,MATCH($A387,ESLData!$B$1:$B$9955,0))</f>
        <v>300</v>
      </c>
      <c r="G387" s="363">
        <f>HLOOKUP("start",ESLData!H$1:H$9955,MATCH($A387,ESLData!$B$1:$B$9955,0))</f>
        <v>334.56</v>
      </c>
      <c r="J387" s="382" t="s">
        <v>1304</v>
      </c>
      <c r="K387" s="368" t="str">
        <f>IF(ISNA(HLOOKUP("start",ESLData!C$1:C$9955,MATCH($A387,ESLData!$B$1:$B$9955,0))),"",HLOOKUP("start",ESLData!C$1:C$9955,MATCH($A387,ESLData!$B$1:$B$9955,0)))</f>
        <v>Printing / Stationery</v>
      </c>
    </row>
    <row r="388" spans="1:11" s="368" customFormat="1" ht="14.25" customHeight="1" x14ac:dyDescent="0.2">
      <c r="A388" s="364">
        <v>35184</v>
      </c>
      <c r="C388" s="363">
        <f>HLOOKUP("start",ESLData!E$1:E$9955,MATCH($A388,ESLData!$B$1:$B$9955,0))</f>
        <v>1555.78</v>
      </c>
      <c r="E388" s="363">
        <f>HLOOKUP("start",ESLData!F$1:F$9955,MATCH($A388,ESLData!$B$1:$B$9955,0))</f>
        <v>1300</v>
      </c>
      <c r="G388" s="363">
        <f>HLOOKUP("start",ESLData!H$1:H$9955,MATCH($A388,ESLData!$B$1:$B$9955,0))</f>
        <v>2542.2800000000002</v>
      </c>
      <c r="J388" s="382" t="s">
        <v>1304</v>
      </c>
      <c r="K388" s="368" t="str">
        <f>IF(ISNA(HLOOKUP("start",ESLData!C$1:C$9955,MATCH($A388,ESLData!$B$1:$B$9955,0))),"",HLOOKUP("start",ESLData!C$1:C$9955,MATCH($A388,ESLData!$B$1:$B$9955,0)))</f>
        <v>Consumables</v>
      </c>
    </row>
    <row r="389" spans="1:11" s="368" customFormat="1" ht="14.25" customHeight="1" x14ac:dyDescent="0.2">
      <c r="A389" s="364">
        <v>35186</v>
      </c>
      <c r="C389" s="363">
        <f>HLOOKUP("start",ESLData!E$1:E$9955,MATCH($A389,ESLData!$B$1:$B$9955,0))</f>
        <v>0</v>
      </c>
      <c r="E389" s="363">
        <f>HLOOKUP("start",ESLData!F$1:F$9955,MATCH($A389,ESLData!$B$1:$B$9955,0))</f>
        <v>150</v>
      </c>
      <c r="G389" s="363">
        <f>HLOOKUP("start",ESLData!H$1:H$9955,MATCH($A389,ESLData!$B$1:$B$9955,0))</f>
        <v>0</v>
      </c>
      <c r="J389" s="382" t="s">
        <v>1304</v>
      </c>
      <c r="K389" s="368" t="str">
        <f>IF(ISNA(HLOOKUP("start",ESLData!C$1:C$9955,MATCH($A389,ESLData!$B$1:$B$9955,0))),"",HLOOKUP("start",ESLData!C$1:C$9955,MATCH($A389,ESLData!$B$1:$B$9955,0)))</f>
        <v>Subs / Membership Fees</v>
      </c>
    </row>
    <row r="390" spans="1:11" s="368" customFormat="1" ht="14.25" customHeight="1" x14ac:dyDescent="0.2">
      <c r="A390" s="364">
        <v>35188</v>
      </c>
      <c r="C390" s="363">
        <f>HLOOKUP("start",ESLData!E$1:E$9955,MATCH($A390,ESLData!$B$1:$B$9955,0))</f>
        <v>26282.48</v>
      </c>
      <c r="E390" s="363">
        <f>HLOOKUP("start",ESLData!F$1:F$9955,MATCH($A390,ESLData!$B$1:$B$9955,0))</f>
        <v>17000</v>
      </c>
      <c r="G390" s="363">
        <f>HLOOKUP("start",ESLData!H$1:H$9955,MATCH($A390,ESLData!$B$1:$B$9955,0))</f>
        <v>18824.04</v>
      </c>
      <c r="J390" s="382" t="s">
        <v>1304</v>
      </c>
      <c r="K390" s="368" t="str">
        <f>IF(ISNA(HLOOKUP("start",ESLData!C$1:C$9955,MATCH($A390,ESLData!$B$1:$B$9955,0))),"",HLOOKUP("start",ESLData!C$1:C$9955,MATCH($A390,ESLData!$B$1:$B$9955,0)))</f>
        <v>Staff Travel / Accommodation</v>
      </c>
    </row>
    <row r="391" spans="1:11" s="368" customFormat="1" ht="14.25" customHeight="1" x14ac:dyDescent="0.2">
      <c r="A391" s="364">
        <v>35161</v>
      </c>
      <c r="C391" s="363">
        <f>HLOOKUP("start",ESLData!E$1:E$9955,MATCH($A391,ESLData!$B$1:$B$9955,0))</f>
        <v>477.4</v>
      </c>
      <c r="E391" s="363">
        <f>HLOOKUP("start",ESLData!F$1:F$9955,MATCH($A391,ESLData!$B$1:$B$9955,0))</f>
        <v>800</v>
      </c>
      <c r="G391" s="363">
        <f>HLOOKUP("start",ESLData!H$1:H$9955,MATCH($A391,ESLData!$B$1:$B$9955,0))</f>
        <v>472.81</v>
      </c>
      <c r="J391" s="382" t="s">
        <v>1304</v>
      </c>
      <c r="K391" s="368" t="str">
        <f>IF(ISNA(HLOOKUP("start",ESLData!C$1:C$9955,MATCH($A391,ESLData!$B$1:$B$9955,0))),"",HLOOKUP("start",ESLData!C$1:C$9955,MATCH($A391,ESLData!$B$1:$B$9955,0)))</f>
        <v>Telephone/Tolls/Fax</v>
      </c>
    </row>
    <row r="392" spans="1:11" s="368" customFormat="1" ht="14.25" customHeight="1" x14ac:dyDescent="0.2">
      <c r="A392" s="364">
        <v>35162</v>
      </c>
      <c r="C392" s="363">
        <f>HLOOKUP("start",ESLData!E$1:E$9955,MATCH($A392,ESLData!$B$1:$B$9955,0))</f>
        <v>525.25</v>
      </c>
      <c r="E392" s="363">
        <f>HLOOKUP("start",ESLData!F$1:F$9955,MATCH($A392,ESLData!$B$1:$B$9955,0))</f>
        <v>400</v>
      </c>
      <c r="G392" s="363">
        <f>HLOOKUP("start",ESLData!H$1:H$9955,MATCH($A392,ESLData!$B$1:$B$9955,0))</f>
        <v>507.45</v>
      </c>
      <c r="J392" s="382" t="s">
        <v>1304</v>
      </c>
      <c r="K392" s="368" t="str">
        <f>IF(ISNA(HLOOKUP("start",ESLData!C$1:C$9955,MATCH($A392,ESLData!$B$1:$B$9955,0))),"",HLOOKUP("start",ESLData!C$1:C$9955,MATCH($A392,ESLData!$B$1:$B$9955,0)))</f>
        <v>Photocopying</v>
      </c>
    </row>
    <row r="393" spans="1:11" s="368" customFormat="1" ht="14.25" customHeight="1" x14ac:dyDescent="0.2">
      <c r="A393" s="364">
        <v>35163</v>
      </c>
      <c r="C393" s="363">
        <f>HLOOKUP("start",ESLData!E$1:E$9955,MATCH($A393,ESLData!$B$1:$B$9955,0))</f>
        <v>153.59</v>
      </c>
      <c r="E393" s="363">
        <f>HLOOKUP("start",ESLData!F$1:F$9955,MATCH($A393,ESLData!$B$1:$B$9955,0))</f>
        <v>150</v>
      </c>
      <c r="G393" s="363">
        <f>HLOOKUP("start",ESLData!H$1:H$9955,MATCH($A393,ESLData!$B$1:$B$9955,0))</f>
        <v>11.99</v>
      </c>
      <c r="J393" s="382" t="s">
        <v>1304</v>
      </c>
      <c r="K393" s="368" t="str">
        <f>IF(ISNA(HLOOKUP("start",ESLData!C$1:C$9955,MATCH($A393,ESLData!$B$1:$B$9955,0))),"",HLOOKUP("start",ESLData!C$1:C$9955,MATCH($A393,ESLData!$B$1:$B$9955,0)))</f>
        <v>Printing/Stationery</v>
      </c>
    </row>
    <row r="394" spans="1:11" s="368" customFormat="1" ht="14.25" customHeight="1" x14ac:dyDescent="0.2">
      <c r="A394" s="364">
        <v>35164</v>
      </c>
      <c r="C394" s="363">
        <f>HLOOKUP("start",ESLData!E$1:E$9955,MATCH($A394,ESLData!$B$1:$B$9955,0))</f>
        <v>150.86000000000001</v>
      </c>
      <c r="E394" s="363">
        <f>HLOOKUP("start",ESLData!F$1:F$9955,MATCH($A394,ESLData!$B$1:$B$9955,0))</f>
        <v>200</v>
      </c>
      <c r="G394" s="363">
        <f>HLOOKUP("start",ESLData!H$1:H$9955,MATCH($A394,ESLData!$B$1:$B$9955,0))</f>
        <v>113.91</v>
      </c>
      <c r="J394" s="382" t="s">
        <v>1304</v>
      </c>
      <c r="K394" s="368" t="str">
        <f>IF(ISNA(HLOOKUP("start",ESLData!C$1:C$9955,MATCH($A394,ESLData!$B$1:$B$9955,0))),"",HLOOKUP("start",ESLData!C$1:C$9955,MATCH($A394,ESLData!$B$1:$B$9955,0)))</f>
        <v>Consumables</v>
      </c>
    </row>
    <row r="395" spans="1:11" s="368" customFormat="1" ht="14.25" customHeight="1" x14ac:dyDescent="0.2">
      <c r="A395" s="364">
        <v>35168</v>
      </c>
      <c r="C395" s="363">
        <f>HLOOKUP("start",ESLData!E$1:E$9955,MATCH($A395,ESLData!$B$1:$B$9955,0))</f>
        <v>3519.26</v>
      </c>
      <c r="E395" s="363">
        <f>HLOOKUP("start",ESLData!F$1:F$9955,MATCH($A395,ESLData!$B$1:$B$9955,0))</f>
        <v>6500</v>
      </c>
      <c r="G395" s="363">
        <f>HLOOKUP("start",ESLData!H$1:H$9955,MATCH($A395,ESLData!$B$1:$B$9955,0))</f>
        <v>5228.9799999999996</v>
      </c>
      <c r="J395" s="382" t="s">
        <v>1304</v>
      </c>
      <c r="K395" s="368" t="str">
        <f>IF(ISNA(HLOOKUP("start",ESLData!C$1:C$9955,MATCH($A395,ESLData!$B$1:$B$9955,0))),"",HLOOKUP("start",ESLData!C$1:C$9955,MATCH($A395,ESLData!$B$1:$B$9955,0)))</f>
        <v>Staff Travel/Accommodation</v>
      </c>
    </row>
    <row r="396" spans="1:11" s="368" customFormat="1" ht="14.25" customHeight="1" x14ac:dyDescent="0.2">
      <c r="A396" s="364">
        <v>34710</v>
      </c>
      <c r="C396" s="363">
        <f>HLOOKUP("start",ESLData!E$1:E$9955,MATCH($A396,ESLData!$B$1:$B$9955,0))</f>
        <v>532.25</v>
      </c>
      <c r="E396" s="363">
        <f>HLOOKUP("start",ESLData!F$1:F$9955,MATCH($A396,ESLData!$B$1:$B$9955,0))</f>
        <v>1200</v>
      </c>
      <c r="G396" s="363">
        <f>HLOOKUP("start",ESLData!H$1:H$9955,MATCH($A396,ESLData!$B$1:$B$9955,0))</f>
        <v>1113.74</v>
      </c>
      <c r="J396" s="382" t="s">
        <v>1304</v>
      </c>
      <c r="K396" s="368" t="str">
        <f>IF(ISNA(HLOOKUP("start",ESLData!C$1:C$9955,MATCH($A396,ESLData!$B$1:$B$9955,0))),"",HLOOKUP("start",ESLData!C$1:C$9955,MATCH($A396,ESLData!$B$1:$B$9955,0)))</f>
        <v>Telephone/Tolls/Fax</v>
      </c>
    </row>
    <row r="397" spans="1:11" s="368" customFormat="1" ht="14.25" customHeight="1" x14ac:dyDescent="0.2">
      <c r="A397" s="364">
        <v>34720</v>
      </c>
      <c r="C397" s="363">
        <f>HLOOKUP("start",ESLData!E$1:E$9955,MATCH($A397,ESLData!$B$1:$B$9955,0))</f>
        <v>0</v>
      </c>
      <c r="E397" s="363">
        <f>HLOOKUP("start",ESLData!F$1:F$9955,MATCH($A397,ESLData!$B$1:$B$9955,0))</f>
        <v>100</v>
      </c>
      <c r="G397" s="363">
        <f>HLOOKUP("start",ESLData!H$1:H$9955,MATCH($A397,ESLData!$B$1:$B$9955,0))</f>
        <v>0</v>
      </c>
      <c r="J397" s="382" t="s">
        <v>1304</v>
      </c>
      <c r="K397" s="368" t="str">
        <f>IF(ISNA(HLOOKUP("start",ESLData!C$1:C$9955,MATCH($A397,ESLData!$B$1:$B$9955,0))),"",HLOOKUP("start",ESLData!C$1:C$9955,MATCH($A397,ESLData!$B$1:$B$9955,0)))</f>
        <v>Photocopying</v>
      </c>
    </row>
    <row r="398" spans="1:11" s="368" customFormat="1" ht="14.25" customHeight="1" x14ac:dyDescent="0.2">
      <c r="A398" s="364">
        <v>34730</v>
      </c>
      <c r="C398" s="363">
        <f>HLOOKUP("start",ESLData!E$1:E$9955,MATCH($A398,ESLData!$B$1:$B$9955,0))</f>
        <v>32.14</v>
      </c>
      <c r="E398" s="363">
        <f>HLOOKUP("start",ESLData!F$1:F$9955,MATCH($A398,ESLData!$B$1:$B$9955,0))</f>
        <v>100</v>
      </c>
      <c r="G398" s="363">
        <f>HLOOKUP("start",ESLData!H$1:H$9955,MATCH($A398,ESLData!$B$1:$B$9955,0))</f>
        <v>0</v>
      </c>
      <c r="J398" s="382" t="s">
        <v>1304</v>
      </c>
      <c r="K398" s="368" t="str">
        <f>IF(ISNA(HLOOKUP("start",ESLData!C$1:C$9955,MATCH($A398,ESLData!$B$1:$B$9955,0))),"",HLOOKUP("start",ESLData!C$1:C$9955,MATCH($A398,ESLData!$B$1:$B$9955,0)))</f>
        <v>Printing/Stationery</v>
      </c>
    </row>
    <row r="399" spans="1:11" s="368" customFormat="1" ht="14.25" customHeight="1" x14ac:dyDescent="0.2">
      <c r="A399" s="364">
        <v>34740</v>
      </c>
      <c r="C399" s="363">
        <f>HLOOKUP("start",ESLData!E$1:E$9955,MATCH($A399,ESLData!$B$1:$B$9955,0))</f>
        <v>729.33</v>
      </c>
      <c r="E399" s="363">
        <f>HLOOKUP("start",ESLData!F$1:F$9955,MATCH($A399,ESLData!$B$1:$B$9955,0))</f>
        <v>300</v>
      </c>
      <c r="G399" s="363">
        <f>HLOOKUP("start",ESLData!H$1:H$9955,MATCH($A399,ESLData!$B$1:$B$9955,0))</f>
        <v>284.74</v>
      </c>
      <c r="J399" s="382" t="s">
        <v>1304</v>
      </c>
      <c r="K399" s="368" t="str">
        <f>IF(ISNA(HLOOKUP("start",ESLData!C$1:C$9955,MATCH($A399,ESLData!$B$1:$B$9955,0))),"",HLOOKUP("start",ESLData!C$1:C$9955,MATCH($A399,ESLData!$B$1:$B$9955,0)))</f>
        <v>Consumables</v>
      </c>
    </row>
    <row r="400" spans="1:11" s="368" customFormat="1" ht="14.25" customHeight="1" x14ac:dyDescent="0.2">
      <c r="A400" s="364">
        <v>34780</v>
      </c>
      <c r="C400" s="363">
        <f>HLOOKUP("start",ESLData!E$1:E$9955,MATCH($A400,ESLData!$B$1:$B$9955,0))</f>
        <v>28518.15</v>
      </c>
      <c r="E400" s="363">
        <f>HLOOKUP("start",ESLData!F$1:F$9955,MATCH($A400,ESLData!$B$1:$B$9955,0))</f>
        <v>20000</v>
      </c>
      <c r="G400" s="363">
        <f>HLOOKUP("start",ESLData!H$1:H$9955,MATCH($A400,ESLData!$B$1:$B$9955,0))</f>
        <v>23335.38</v>
      </c>
      <c r="J400" s="382" t="s">
        <v>1304</v>
      </c>
      <c r="K400" s="368" t="str">
        <f>IF(ISNA(HLOOKUP("start",ESLData!C$1:C$9955,MATCH($A400,ESLData!$B$1:$B$9955,0))),"",HLOOKUP("start",ESLData!C$1:C$9955,MATCH($A400,ESLData!$B$1:$B$9955,0)))</f>
        <v>Staff Travel/Accommodation</v>
      </c>
    </row>
    <row r="401" spans="1:11" s="368" customFormat="1" ht="14.25" customHeight="1" x14ac:dyDescent="0.2">
      <c r="A401" s="364">
        <v>35010</v>
      </c>
      <c r="C401" s="363">
        <f>HLOOKUP("start",ESLData!E$1:E$9955,MATCH($A401,ESLData!$B$1:$B$9955,0))</f>
        <v>616.25</v>
      </c>
      <c r="E401" s="363">
        <f>HLOOKUP("start",ESLData!F$1:F$9955,MATCH($A401,ESLData!$B$1:$B$9955,0))</f>
        <v>1200</v>
      </c>
      <c r="G401" s="363">
        <f>HLOOKUP("start",ESLData!H$1:H$9955,MATCH($A401,ESLData!$B$1:$B$9955,0))</f>
        <v>1130.76</v>
      </c>
      <c r="J401" s="382" t="s">
        <v>1304</v>
      </c>
      <c r="K401" s="368" t="str">
        <f>IF(ISNA(HLOOKUP("start",ESLData!C$1:C$9955,MATCH($A401,ESLData!$B$1:$B$9955,0))),"",HLOOKUP("start",ESLData!C$1:C$9955,MATCH($A401,ESLData!$B$1:$B$9955,0)))</f>
        <v>Telephone/Tolls/Fax Ict Co-Ord</v>
      </c>
    </row>
    <row r="402" spans="1:11" s="368" customFormat="1" ht="14.25" customHeight="1" x14ac:dyDescent="0.2">
      <c r="A402" s="364">
        <v>35020</v>
      </c>
      <c r="C402" s="363">
        <f>HLOOKUP("start",ESLData!E$1:E$9955,MATCH($A402,ESLData!$B$1:$B$9955,0))</f>
        <v>0</v>
      </c>
      <c r="E402" s="363">
        <f>HLOOKUP("start",ESLData!F$1:F$9955,MATCH($A402,ESLData!$B$1:$B$9955,0))</f>
        <v>0</v>
      </c>
      <c r="G402" s="363">
        <f>HLOOKUP("start",ESLData!H$1:H$9955,MATCH($A402,ESLData!$B$1:$B$9955,0))</f>
        <v>0</v>
      </c>
      <c r="J402" s="382" t="s">
        <v>1304</v>
      </c>
      <c r="K402" s="368" t="str">
        <f>IF(ISNA(HLOOKUP("start",ESLData!C$1:C$9955,MATCH($A402,ESLData!$B$1:$B$9955,0))),"",HLOOKUP("start",ESLData!C$1:C$9955,MATCH($A402,ESLData!$B$1:$B$9955,0)))</f>
        <v>Photocopying Ict Co-Ord</v>
      </c>
    </row>
    <row r="403" spans="1:11" s="368" customFormat="1" ht="14.25" customHeight="1" x14ac:dyDescent="0.2">
      <c r="A403" s="364">
        <v>35030</v>
      </c>
      <c r="C403" s="363">
        <f>HLOOKUP("start",ESLData!E$1:E$9955,MATCH($A403,ESLData!$B$1:$B$9955,0))</f>
        <v>50.05</v>
      </c>
      <c r="E403" s="363">
        <f>HLOOKUP("start",ESLData!F$1:F$9955,MATCH($A403,ESLData!$B$1:$B$9955,0))</f>
        <v>100</v>
      </c>
      <c r="G403" s="363">
        <f>HLOOKUP("start",ESLData!H$1:H$9955,MATCH($A403,ESLData!$B$1:$B$9955,0))</f>
        <v>0</v>
      </c>
      <c r="J403" s="382" t="s">
        <v>1304</v>
      </c>
      <c r="K403" s="368" t="str">
        <f>IF(ISNA(HLOOKUP("start",ESLData!C$1:C$9955,MATCH($A403,ESLData!$B$1:$B$9955,0))),"",HLOOKUP("start",ESLData!C$1:C$9955,MATCH($A403,ESLData!$B$1:$B$9955,0)))</f>
        <v>Printing/Stationery Ict Co-Ord</v>
      </c>
    </row>
    <row r="404" spans="1:11" s="368" customFormat="1" ht="14.25" customHeight="1" x14ac:dyDescent="0.2">
      <c r="A404" s="364">
        <v>35040</v>
      </c>
      <c r="C404" s="363">
        <f>HLOOKUP("start",ESLData!E$1:E$9955,MATCH($A404,ESLData!$B$1:$B$9955,0))</f>
        <v>1951.53</v>
      </c>
      <c r="E404" s="363">
        <f>HLOOKUP("start",ESLData!F$1:F$9955,MATCH($A404,ESLData!$B$1:$B$9955,0))</f>
        <v>1500</v>
      </c>
      <c r="G404" s="363">
        <f>HLOOKUP("start",ESLData!H$1:H$9955,MATCH($A404,ESLData!$B$1:$B$9955,0))</f>
        <v>1752.93</v>
      </c>
      <c r="J404" s="382" t="s">
        <v>1304</v>
      </c>
      <c r="K404" s="368" t="str">
        <f>IF(ISNA(HLOOKUP("start",ESLData!C$1:C$9955,MATCH($A404,ESLData!$B$1:$B$9955,0))),"",HLOOKUP("start",ESLData!C$1:C$9955,MATCH($A404,ESLData!$B$1:$B$9955,0)))</f>
        <v>Consumables Ict Co-Ord</v>
      </c>
    </row>
    <row r="405" spans="1:11" s="368" customFormat="1" ht="14.25" customHeight="1" x14ac:dyDescent="0.2">
      <c r="A405" s="364">
        <v>35050</v>
      </c>
      <c r="C405" s="363">
        <f>HLOOKUP("start",ESLData!E$1:E$9955,MATCH($A405,ESLData!$B$1:$B$9955,0))</f>
        <v>791.85</v>
      </c>
      <c r="E405" s="363">
        <f>HLOOKUP("start",ESLData!F$1:F$9955,MATCH($A405,ESLData!$B$1:$B$9955,0))</f>
        <v>2000</v>
      </c>
      <c r="G405" s="363">
        <f>HLOOKUP("start",ESLData!H$1:H$9955,MATCH($A405,ESLData!$B$1:$B$9955,0))</f>
        <v>32876.800000000003</v>
      </c>
      <c r="J405" s="382" t="s">
        <v>1304</v>
      </c>
      <c r="K405" s="368" t="str">
        <f>IF(ISNA(HLOOKUP("start",ESLData!C$1:C$9955,MATCH($A405,ESLData!$B$1:$B$9955,0))),"",HLOOKUP("start",ESLData!C$1:C$9955,MATCH($A405,ESLData!$B$1:$B$9955,0)))</f>
        <v>Ict Expenses Ict Co-Ord</v>
      </c>
    </row>
    <row r="406" spans="1:11" s="368" customFormat="1" ht="14.25" customHeight="1" x14ac:dyDescent="0.2">
      <c r="A406" s="364">
        <v>35080</v>
      </c>
      <c r="C406" s="363">
        <f>HLOOKUP("start",ESLData!E$1:E$9955,MATCH($A406,ESLData!$B$1:$B$9955,0))</f>
        <v>18144.759999999998</v>
      </c>
      <c r="E406" s="363">
        <f>HLOOKUP("start",ESLData!F$1:F$9955,MATCH($A406,ESLData!$B$1:$B$9955,0))</f>
        <v>20000</v>
      </c>
      <c r="G406" s="363">
        <f>HLOOKUP("start",ESLData!H$1:H$9955,MATCH($A406,ESLData!$B$1:$B$9955,0))</f>
        <v>17937.04</v>
      </c>
      <c r="J406" s="382" t="s">
        <v>1304</v>
      </c>
      <c r="K406" s="368" t="str">
        <f>IF(ISNA(HLOOKUP("start",ESLData!C$1:C$9955,MATCH($A406,ESLData!$B$1:$B$9955,0))),"",HLOOKUP("start",ESLData!C$1:C$9955,MATCH($A406,ESLData!$B$1:$B$9955,0)))</f>
        <v>Staff Travel/Accomodation</v>
      </c>
    </row>
    <row r="407" spans="1:11" s="368" customFormat="1" ht="14.25" customHeight="1" x14ac:dyDescent="0.2">
      <c r="A407" s="364">
        <v>35910</v>
      </c>
      <c r="C407" s="363">
        <f>HLOOKUP("start",ESLData!E$1:E$9955,MATCH($A407,ESLData!$B$1:$B$9955,0))</f>
        <v>509.28</v>
      </c>
      <c r="E407" s="363">
        <f>HLOOKUP("start",ESLData!F$1:F$9955,MATCH($A407,ESLData!$B$1:$B$9955,0))</f>
        <v>650</v>
      </c>
      <c r="G407" s="363">
        <f>HLOOKUP("start",ESLData!H$1:H$9955,MATCH($A407,ESLData!$B$1:$B$9955,0))</f>
        <v>567.12</v>
      </c>
      <c r="J407" s="382" t="s">
        <v>1304</v>
      </c>
      <c r="K407" s="368" t="str">
        <f>IF(ISNA(HLOOKUP("start",ESLData!C$1:C$9955,MATCH($A407,ESLData!$B$1:$B$9955,0))),"",HLOOKUP("start",ESLData!C$1:C$9955,MATCH($A407,ESLData!$B$1:$B$9955,0)))</f>
        <v>Telephone/Tolls/Fax Ec</v>
      </c>
    </row>
    <row r="408" spans="1:11" s="368" customFormat="1" ht="14.25" customHeight="1" x14ac:dyDescent="0.2">
      <c r="A408" s="364">
        <v>35920</v>
      </c>
      <c r="C408" s="363">
        <f>HLOOKUP("start",ESLData!E$1:E$9955,MATCH($A408,ESLData!$B$1:$B$9955,0))</f>
        <v>927.4</v>
      </c>
      <c r="E408" s="363">
        <f>HLOOKUP("start",ESLData!F$1:F$9955,MATCH($A408,ESLData!$B$1:$B$9955,0))</f>
        <v>700</v>
      </c>
      <c r="G408" s="363">
        <f>HLOOKUP("start",ESLData!H$1:H$9955,MATCH($A408,ESLData!$B$1:$B$9955,0))</f>
        <v>394.5</v>
      </c>
      <c r="J408" s="382" t="s">
        <v>1304</v>
      </c>
      <c r="K408" s="368" t="str">
        <f>IF(ISNA(HLOOKUP("start",ESLData!C$1:C$9955,MATCH($A408,ESLData!$B$1:$B$9955,0))),"",HLOOKUP("start",ESLData!C$1:C$9955,MATCH($A408,ESLData!$B$1:$B$9955,0)))</f>
        <v>Photocopying Ec</v>
      </c>
    </row>
    <row r="409" spans="1:11" s="368" customFormat="1" ht="14.25" customHeight="1" x14ac:dyDescent="0.2">
      <c r="A409" s="364">
        <v>35930</v>
      </c>
      <c r="C409" s="363">
        <f>HLOOKUP("start",ESLData!E$1:E$9955,MATCH($A409,ESLData!$B$1:$B$9955,0))</f>
        <v>285.44</v>
      </c>
      <c r="E409" s="363">
        <f>HLOOKUP("start",ESLData!F$1:F$9955,MATCH($A409,ESLData!$B$1:$B$9955,0))</f>
        <v>250</v>
      </c>
      <c r="G409" s="363">
        <f>HLOOKUP("start",ESLData!H$1:H$9955,MATCH($A409,ESLData!$B$1:$B$9955,0))</f>
        <v>661.97</v>
      </c>
      <c r="J409" s="382" t="s">
        <v>1304</v>
      </c>
      <c r="K409" s="368" t="str">
        <f>IF(ISNA(HLOOKUP("start",ESLData!C$1:C$9955,MATCH($A409,ESLData!$B$1:$B$9955,0))),"",HLOOKUP("start",ESLData!C$1:C$9955,MATCH($A409,ESLData!$B$1:$B$9955,0)))</f>
        <v>Printing/Stationery Ec</v>
      </c>
    </row>
    <row r="410" spans="1:11" s="368" customFormat="1" ht="14.25" customHeight="1" x14ac:dyDescent="0.2">
      <c r="A410" s="364">
        <v>35940</v>
      </c>
      <c r="C410" s="363">
        <f>HLOOKUP("start",ESLData!E$1:E$9955,MATCH($A410,ESLData!$B$1:$B$9955,0))</f>
        <v>2255.1</v>
      </c>
      <c r="E410" s="363">
        <f>HLOOKUP("start",ESLData!F$1:F$9955,MATCH($A410,ESLData!$B$1:$B$9955,0))</f>
        <v>4000</v>
      </c>
      <c r="G410" s="363">
        <f>HLOOKUP("start",ESLData!H$1:H$9955,MATCH($A410,ESLData!$B$1:$B$9955,0))</f>
        <v>1167.92</v>
      </c>
      <c r="J410" s="382" t="s">
        <v>1304</v>
      </c>
      <c r="K410" s="368" t="str">
        <f>IF(ISNA(HLOOKUP("start",ESLData!C$1:C$9955,MATCH($A410,ESLData!$B$1:$B$9955,0))),"",HLOOKUP("start",ESLData!C$1:C$9955,MATCH($A410,ESLData!$B$1:$B$9955,0)))</f>
        <v>Consumables Ec</v>
      </c>
    </row>
    <row r="411" spans="1:11" s="368" customFormat="1" ht="14.25" customHeight="1" x14ac:dyDescent="0.2">
      <c r="A411" s="364">
        <v>35510</v>
      </c>
      <c r="C411" s="363">
        <f>HLOOKUP("start",ESLData!E$1:E$9955,MATCH($A411,ESLData!$B$1:$B$9955,0))</f>
        <v>319049.59000000003</v>
      </c>
      <c r="E411" s="363">
        <f>HLOOKUP("start",ESLData!F$1:F$9955,MATCH($A411,ESLData!$B$1:$B$9955,0))</f>
        <v>305000</v>
      </c>
      <c r="G411" s="363">
        <f>HLOOKUP("start",ESLData!H$1:H$9955,MATCH($A411,ESLData!$B$1:$B$9955,0))</f>
        <v>274654.15000000002</v>
      </c>
      <c r="J411" s="382" t="s">
        <v>1304</v>
      </c>
      <c r="K411" s="368" t="str">
        <f>IF(ISNA(HLOOKUP("start",ESLData!C$1:C$9955,MATCH($A411,ESLData!$B$1:$B$9955,0))),"",HLOOKUP("start",ESLData!C$1:C$9955,MATCH($A411,ESLData!$B$1:$B$9955,0)))</f>
        <v>Regional Leased Cards</v>
      </c>
    </row>
    <row r="412" spans="1:11" s="368" customFormat="1" ht="14.25" customHeight="1" x14ac:dyDescent="0.2">
      <c r="A412" s="364">
        <v>35515</v>
      </c>
      <c r="C412" s="363">
        <f>HLOOKUP("start",ESLData!E$1:E$9955,MATCH($A412,ESLData!$B$1:$B$9955,0))</f>
        <v>5913.78</v>
      </c>
      <c r="E412" s="363">
        <f>HLOOKUP("start",ESLData!F$1:F$9955,MATCH($A412,ESLData!$B$1:$B$9955,0))</f>
        <v>12000</v>
      </c>
      <c r="G412" s="363">
        <f>HLOOKUP("start",ESLData!H$1:H$9955,MATCH($A412,ESLData!$B$1:$B$9955,0))</f>
        <v>9477.25</v>
      </c>
      <c r="J412" s="382" t="s">
        <v>1304</v>
      </c>
      <c r="K412" s="368" t="str">
        <f>IF(ISNA(HLOOKUP("start",ESLData!C$1:C$9955,MATCH($A412,ESLData!$B$1:$B$9955,0))),"",HLOOKUP("start",ESLData!C$1:C$9955,MATCH($A412,ESLData!$B$1:$B$9955,0)))</f>
        <v>Regional Vehicle Maintenance</v>
      </c>
    </row>
    <row r="413" spans="1:11" s="368" customFormat="1" ht="14.25" customHeight="1" x14ac:dyDescent="0.2">
      <c r="A413" s="364">
        <v>35520</v>
      </c>
      <c r="C413" s="363">
        <f>HLOOKUP("start",ESLData!E$1:E$9955,MATCH($A413,ESLData!$B$1:$B$9955,0))</f>
        <v>48484.13</v>
      </c>
      <c r="E413" s="363">
        <f>HLOOKUP("start",ESLData!F$1:F$9955,MATCH($A413,ESLData!$B$1:$B$9955,0))</f>
        <v>40766</v>
      </c>
      <c r="G413" s="363">
        <f>HLOOKUP("start",ESLData!H$1:H$9955,MATCH($A413,ESLData!$B$1:$B$9955,0))</f>
        <v>45351.7</v>
      </c>
      <c r="J413" s="382" t="s">
        <v>1304</v>
      </c>
      <c r="K413" s="368" t="str">
        <f>IF(ISNA(HLOOKUP("start",ESLData!C$1:C$9955,MATCH($A413,ESLData!$B$1:$B$9955,0))),"",HLOOKUP("start",ESLData!C$1:C$9955,MATCH($A413,ESLData!$B$1:$B$9955,0)))</f>
        <v>Regional Vehicle Insurance</v>
      </c>
    </row>
    <row r="414" spans="1:11" s="368" customFormat="1" ht="14.25" customHeight="1" x14ac:dyDescent="0.2">
      <c r="A414" s="364">
        <v>35530</v>
      </c>
      <c r="C414" s="363">
        <f>HLOOKUP("start",ESLData!E$1:E$9955,MATCH($A414,ESLData!$B$1:$B$9955,0))</f>
        <v>421.06</v>
      </c>
      <c r="E414" s="363">
        <f>HLOOKUP("start",ESLData!F$1:F$9955,MATCH($A414,ESLData!$B$1:$B$9955,0))</f>
        <v>3000</v>
      </c>
      <c r="G414" s="363">
        <f>HLOOKUP("start",ESLData!H$1:H$9955,MATCH($A414,ESLData!$B$1:$B$9955,0))</f>
        <v>758.51</v>
      </c>
      <c r="J414" s="382" t="s">
        <v>1304</v>
      </c>
      <c r="K414" s="368" t="str">
        <f>IF(ISNA(HLOOKUP("start",ESLData!C$1:C$9955,MATCH($A414,ESLData!$B$1:$B$9955,0))),"",HLOOKUP("start",ESLData!C$1:C$9955,MATCH($A414,ESLData!$B$1:$B$9955,0)))</f>
        <v>Regional Relief Teacher Travel</v>
      </c>
    </row>
    <row r="415" spans="1:11" s="368" customFormat="1" ht="14.25" customHeight="1" x14ac:dyDescent="0.2">
      <c r="A415" s="364">
        <v>35545</v>
      </c>
      <c r="C415" s="363">
        <f>HLOOKUP("start",ESLData!E$1:E$9955,MATCH($A415,ESLData!$B$1:$B$9955,0))</f>
        <v>13093.39</v>
      </c>
      <c r="E415" s="363">
        <f>HLOOKUP("start",ESLData!F$1:F$9955,MATCH($A415,ESLData!$B$1:$B$9955,0))</f>
        <v>40000</v>
      </c>
      <c r="G415" s="363">
        <f>HLOOKUP("start",ESLData!H$1:H$9955,MATCH($A415,ESLData!$B$1:$B$9955,0))</f>
        <v>5701.14</v>
      </c>
      <c r="J415" s="382" t="s">
        <v>1304</v>
      </c>
      <c r="K415" s="368" t="str">
        <f>IF(ISNA(HLOOKUP("start",ESLData!C$1:C$9955,MATCH($A415,ESLData!$B$1:$B$9955,0))),"",HLOOKUP("start",ESLData!C$1:C$9955,MATCH($A415,ESLData!$B$1:$B$9955,0)))</f>
        <v>VRC New Property Consumables</v>
      </c>
    </row>
    <row r="416" spans="1:11" s="368" customFormat="1" ht="14.25" customHeight="1" x14ac:dyDescent="0.2">
      <c r="A416" s="364">
        <v>35550</v>
      </c>
      <c r="C416" s="363">
        <f>HLOOKUP("start",ESLData!E$1:E$9955,MATCH($A416,ESLData!$B$1:$B$9955,0))</f>
        <v>8313.98</v>
      </c>
      <c r="E416" s="363">
        <f>HLOOKUP("start",ESLData!F$1:F$9955,MATCH($A416,ESLData!$B$1:$B$9955,0))</f>
        <v>3000</v>
      </c>
      <c r="G416" s="363">
        <f>HLOOKUP("start",ESLData!H$1:H$9955,MATCH($A416,ESLData!$B$1:$B$9955,0))</f>
        <v>129.88</v>
      </c>
      <c r="J416" s="382" t="s">
        <v>1304</v>
      </c>
      <c r="K416" s="368" t="str">
        <f>IF(ISNA(HLOOKUP("start",ESLData!C$1:C$9955,MATCH($A416,ESLData!$B$1:$B$9955,0))),"",HLOOKUP("start",ESLData!C$1:C$9955,MATCH($A416,ESLData!$B$1:$B$9955,0)))</f>
        <v>Regional Stationery</v>
      </c>
    </row>
    <row r="417" spans="1:11" s="368" customFormat="1" ht="14.25" customHeight="1" x14ac:dyDescent="0.2">
      <c r="A417" s="364">
        <v>35555</v>
      </c>
      <c r="C417" s="363">
        <f>HLOOKUP("start",ESLData!E$1:E$9955,MATCH($A417,ESLData!$B$1:$B$9955,0))</f>
        <v>3991.02</v>
      </c>
      <c r="E417" s="363">
        <f>HLOOKUP("start",ESLData!F$1:F$9955,MATCH($A417,ESLData!$B$1:$B$9955,0))</f>
        <v>5000</v>
      </c>
      <c r="G417" s="363">
        <f>HLOOKUP("start",ESLData!H$1:H$9955,MATCH($A417,ESLData!$B$1:$B$9955,0))</f>
        <v>149.09</v>
      </c>
      <c r="I417" s="370"/>
      <c r="J417" s="382" t="s">
        <v>1304</v>
      </c>
      <c r="K417" s="368" t="str">
        <f>IF(ISNA(HLOOKUP("start",ESLData!C$1:C$9955,MATCH($A417,ESLData!$B$1:$B$9955,0))),"",HLOOKUP("start",ESLData!C$1:C$9955,MATCH($A417,ESLData!$B$1:$B$9955,0)))</f>
        <v>Regional Health &amp; Safety</v>
      </c>
    </row>
    <row r="418" spans="1:11" s="368" customFormat="1" ht="14.25" customHeight="1" x14ac:dyDescent="0.2">
      <c r="A418" s="364">
        <v>35172</v>
      </c>
      <c r="C418" s="363">
        <f>HLOOKUP("start",ESLData!E$1:E$9955,MATCH($A418,ESLData!$B$1:$B$9955,0))</f>
        <v>15738.95</v>
      </c>
      <c r="E418" s="363">
        <f>HLOOKUP("start",ESLData!F$1:F$9955,MATCH($A418,ESLData!$B$1:$B$9955,0))</f>
        <v>15000</v>
      </c>
      <c r="G418" s="363">
        <f>HLOOKUP("start",ESLData!H$1:H$9955,MATCH($A418,ESLData!$B$1:$B$9955,0))</f>
        <v>14733.48</v>
      </c>
      <c r="J418" s="382" t="s">
        <v>1304</v>
      </c>
      <c r="K418" s="368" t="str">
        <f>IF(ISNA(HLOOKUP("start",ESLData!C$1:C$9955,MATCH($A418,ESLData!$B$1:$B$9955,0))),"",HLOOKUP("start",ESLData!C$1:C$9955,MATCH($A418,ESLData!$B$1:$B$9955,0)))</f>
        <v>Lower Ni Regional Meetings</v>
      </c>
    </row>
    <row r="419" spans="1:11" s="368" customFormat="1" ht="14.25" customHeight="1" x14ac:dyDescent="0.2">
      <c r="A419" s="364">
        <v>35173</v>
      </c>
      <c r="C419" s="363">
        <f>HLOOKUP("start",ESLData!E$1:E$9955,MATCH($A419,ESLData!$B$1:$B$9955,0))</f>
        <v>13499.73</v>
      </c>
      <c r="E419" s="363">
        <f>HLOOKUP("start",ESLData!F$1:F$9955,MATCH($A419,ESLData!$B$1:$B$9955,0))</f>
        <v>10000</v>
      </c>
      <c r="G419" s="363">
        <f>HLOOKUP("start",ESLData!H$1:H$9955,MATCH($A419,ESLData!$B$1:$B$9955,0))</f>
        <v>9265.07</v>
      </c>
      <c r="J419" s="382" t="s">
        <v>1304</v>
      </c>
      <c r="K419" s="368" t="str">
        <f>IF(ISNA(HLOOKUP("start",ESLData!C$1:C$9955,MATCH($A419,ESLData!$B$1:$B$9955,0))),"",HLOOKUP("start",ESLData!C$1:C$9955,MATCH($A419,ESLData!$B$1:$B$9955,0)))</f>
        <v>South Island Regional Meetings</v>
      </c>
    </row>
    <row r="420" spans="1:11" s="368" customFormat="1" ht="14.25" customHeight="1" x14ac:dyDescent="0.2">
      <c r="A420" s="364">
        <v>35174</v>
      </c>
      <c r="C420" s="363">
        <f>HLOOKUP("start",ESLData!E$1:E$9955,MATCH($A420,ESLData!$B$1:$B$9955,0))</f>
        <v>0</v>
      </c>
      <c r="E420" s="363">
        <f>HLOOKUP("start",ESLData!F$1:F$9955,MATCH($A420,ESLData!$B$1:$B$9955,0))</f>
        <v>0</v>
      </c>
      <c r="G420" s="363">
        <f>HLOOKUP("start",ESLData!H$1:H$9955,MATCH($A420,ESLData!$B$1:$B$9955,0))</f>
        <v>0</v>
      </c>
      <c r="I420" s="380" t="s">
        <v>1302</v>
      </c>
      <c r="K420" s="368" t="str">
        <f>IF(ISNA(HLOOKUP("start",ESLData!C$1:C$9955,MATCH($A420,ESLData!$B$1:$B$9955,0))),"",HLOOKUP("start",ESLData!C$1:C$9955,MATCH($A420,ESLData!$B$1:$B$9955,0)))</f>
        <v>Regional Network Staffing Oper</v>
      </c>
    </row>
    <row r="421" spans="1:11" s="368" customFormat="1" ht="14.25" customHeight="1" x14ac:dyDescent="0.2">
      <c r="A421" s="364">
        <v>35175</v>
      </c>
      <c r="C421" s="363">
        <f>HLOOKUP("start",ESLData!E$1:E$9955,MATCH($A421,ESLData!$B$1:$B$9955,0))</f>
        <v>2748.23</v>
      </c>
      <c r="E421" s="363">
        <f>HLOOKUP("start",ESLData!F$1:F$9955,MATCH($A421,ESLData!$B$1:$B$9955,0))</f>
        <v>3000</v>
      </c>
      <c r="G421" s="363">
        <f>HLOOKUP("start",ESLData!H$1:H$9955,MATCH($A421,ESLData!$B$1:$B$9955,0))</f>
        <v>2526.66</v>
      </c>
      <c r="J421" s="382" t="s">
        <v>1304</v>
      </c>
      <c r="K421" s="368" t="str">
        <f>IF(ISNA(HLOOKUP("start",ESLData!C$1:C$9955,MATCH($A421,ESLData!$B$1:$B$9955,0))),"",HLOOKUP("start",ESLData!C$1:C$9955,MATCH($A421,ESLData!$B$1:$B$9955,0)))</f>
        <v>Upper Ni Regional Meetings</v>
      </c>
    </row>
    <row r="422" spans="1:11" s="368" customFormat="1" ht="14.25" customHeight="1" x14ac:dyDescent="0.2">
      <c r="A422" s="364">
        <v>35176</v>
      </c>
      <c r="C422" s="363">
        <f>HLOOKUP("start",ESLData!E$1:E$9955,MATCH($A422,ESLData!$B$1:$B$9955,0))</f>
        <v>3891.73</v>
      </c>
      <c r="E422" s="363">
        <f>HLOOKUP("start",ESLData!F$1:F$9955,MATCH($A422,ESLData!$B$1:$B$9955,0))</f>
        <v>2000</v>
      </c>
      <c r="G422" s="363">
        <f>HLOOKUP("start",ESLData!H$1:H$9955,MATCH($A422,ESLData!$B$1:$B$9955,0))</f>
        <v>2897.31</v>
      </c>
      <c r="J422" s="382" t="s">
        <v>1304</v>
      </c>
      <c r="K422" s="368" t="str">
        <f>IF(ISNA(HLOOKUP("start",ESLData!C$1:C$9955,MATCH($A422,ESLData!$B$1:$B$9955,0))),"",HLOOKUP("start",ESLData!C$1:C$9955,MATCH($A422,ESLData!$B$1:$B$9955,0)))</f>
        <v>Ham-Tauranga Regional Meetings</v>
      </c>
    </row>
    <row r="423" spans="1:11" s="368" customFormat="1" ht="14.25" customHeight="1" x14ac:dyDescent="0.2">
      <c r="A423" s="364">
        <v>35177</v>
      </c>
      <c r="C423" s="363">
        <f>HLOOKUP("start",ESLData!E$1:E$9955,MATCH($A423,ESLData!$B$1:$B$9955,0))</f>
        <v>11144.97</v>
      </c>
      <c r="E423" s="363">
        <f>HLOOKUP("start",ESLData!F$1:F$9955,MATCH($A423,ESLData!$B$1:$B$9955,0))</f>
        <v>22000</v>
      </c>
      <c r="G423" s="363">
        <f>HLOOKUP("start",ESLData!H$1:H$9955,MATCH($A423,ESLData!$B$1:$B$9955,0))</f>
        <v>11482.67</v>
      </c>
      <c r="J423" s="382" t="s">
        <v>1304</v>
      </c>
      <c r="K423" s="368" t="str">
        <f>IF(ISNA(HLOOKUP("start",ESLData!C$1:C$9955,MATCH($A423,ESLData!$B$1:$B$9955,0))),"",HLOOKUP("start",ESLData!C$1:C$9955,MATCH($A423,ESLData!$B$1:$B$9955,0)))</f>
        <v>Working Party / Ref Grp Mtgs</v>
      </c>
    </row>
    <row r="424" spans="1:11" s="368" customFormat="1" ht="14.25" customHeight="1" x14ac:dyDescent="0.2">
      <c r="A424" s="364">
        <v>35179</v>
      </c>
      <c r="C424" s="363">
        <f>HLOOKUP("start",ESLData!E$1:E$9955,MATCH($A424,ESLData!$B$1:$B$9955,0))</f>
        <v>2753.03</v>
      </c>
      <c r="E424" s="363">
        <f>HLOOKUP("start",ESLData!F$1:F$9955,MATCH($A424,ESLData!$B$1:$B$9955,0))</f>
        <v>34000</v>
      </c>
      <c r="G424" s="363">
        <f>HLOOKUP("start",ESLData!H$1:H$9955,MATCH($A424,ESLData!$B$1:$B$9955,0))</f>
        <v>0</v>
      </c>
      <c r="J424" s="382" t="s">
        <v>1304</v>
      </c>
      <c r="K424" s="368" t="str">
        <f>IF(ISNA(HLOOKUP("start",ESLData!C$1:C$9955,MATCH($A424,ESLData!$B$1:$B$9955,0))),"",HLOOKUP("start",ESLData!C$1:C$9955,MATCH($A424,ESLData!$B$1:$B$9955,0)))</f>
        <v>Itinerant Music</v>
      </c>
    </row>
    <row r="425" spans="1:11" s="368" customFormat="1" ht="14.25" customHeight="1" x14ac:dyDescent="0.2">
      <c r="A425" s="364">
        <v>60400</v>
      </c>
      <c r="C425" s="363">
        <f>HLOOKUP("start",ESLData!E$1:E$9955,MATCH($A425,ESLData!$B$1:$B$9955,0))</f>
        <v>5464.4</v>
      </c>
      <c r="E425" s="363">
        <f>HLOOKUP("start",ESLData!F$1:F$9955,MATCH($A425,ESLData!$B$1:$B$9955,0))</f>
        <v>9000</v>
      </c>
      <c r="G425" s="363">
        <f>HLOOKUP("start",ESLData!H$1:H$9955,MATCH($A425,ESLData!$B$1:$B$9955,0))</f>
        <v>4299.1400000000003</v>
      </c>
      <c r="J425" s="382" t="s">
        <v>1304</v>
      </c>
      <c r="K425" s="368" t="str">
        <f>IF(ISNA(HLOOKUP("start",ESLData!C$1:C$9955,MATCH($A425,ESLData!$B$1:$B$9955,0))),"",HLOOKUP("start",ESLData!C$1:C$9955,MATCH($A425,ESLData!$B$1:$B$9955,0)))</f>
        <v>Telephone/Tolls/Fax</v>
      </c>
    </row>
    <row r="426" spans="1:11" s="368" customFormat="1" ht="14.25" customHeight="1" x14ac:dyDescent="0.2">
      <c r="A426" s="364">
        <v>60450</v>
      </c>
      <c r="C426" s="363">
        <f>HLOOKUP("start",ESLData!E$1:E$9955,MATCH($A426,ESLData!$B$1:$B$9955,0))</f>
        <v>715.4</v>
      </c>
      <c r="E426" s="363">
        <f>HLOOKUP("start",ESLData!F$1:F$9955,MATCH($A426,ESLData!$B$1:$B$9955,0))</f>
        <v>2000</v>
      </c>
      <c r="G426" s="363">
        <f>HLOOKUP("start",ESLData!H$1:H$9955,MATCH($A426,ESLData!$B$1:$B$9955,0))</f>
        <v>918.25</v>
      </c>
      <c r="J426" s="382" t="s">
        <v>1304</v>
      </c>
      <c r="K426" s="368" t="str">
        <f>IF(ISNA(HLOOKUP("start",ESLData!C$1:C$9955,MATCH($A426,ESLData!$B$1:$B$9955,0))),"",HLOOKUP("start",ESLData!C$1:C$9955,MATCH($A426,ESLData!$B$1:$B$9955,0)))</f>
        <v>Photocopying</v>
      </c>
    </row>
    <row r="427" spans="1:11" s="368" customFormat="1" ht="14.25" customHeight="1" x14ac:dyDescent="0.2">
      <c r="A427" s="364">
        <v>60500</v>
      </c>
      <c r="C427" s="363">
        <f>HLOOKUP("start",ESLData!E$1:E$9955,MATCH($A427,ESLData!$B$1:$B$9955,0))</f>
        <v>987.15</v>
      </c>
      <c r="E427" s="363">
        <f>HLOOKUP("start",ESLData!F$1:F$9955,MATCH($A427,ESLData!$B$1:$B$9955,0))</f>
        <v>1500</v>
      </c>
      <c r="G427" s="363">
        <f>HLOOKUP("start",ESLData!H$1:H$9955,MATCH($A427,ESLData!$B$1:$B$9955,0))</f>
        <v>572.58000000000004</v>
      </c>
      <c r="J427" s="382" t="s">
        <v>1304</v>
      </c>
      <c r="K427" s="368" t="str">
        <f>IF(ISNA(HLOOKUP("start",ESLData!C$1:C$9955,MATCH($A427,ESLData!$B$1:$B$9955,0))),"",HLOOKUP("start",ESLData!C$1:C$9955,MATCH($A427,ESLData!$B$1:$B$9955,0)))</f>
        <v>Printing/Stationery</v>
      </c>
    </row>
    <row r="428" spans="1:11" s="368" customFormat="1" ht="14.25" customHeight="1" x14ac:dyDescent="0.2">
      <c r="A428" s="364">
        <v>60750</v>
      </c>
      <c r="C428" s="363">
        <f>HLOOKUP("start",ESLData!E$1:E$9955,MATCH($A428,ESLData!$B$1:$B$9955,0))</f>
        <v>7597.69</v>
      </c>
      <c r="E428" s="363">
        <f>HLOOKUP("start",ESLData!F$1:F$9955,MATCH($A428,ESLData!$B$1:$B$9955,0))</f>
        <v>16000</v>
      </c>
      <c r="G428" s="363">
        <f>HLOOKUP("start",ESLData!H$1:H$9955,MATCH($A428,ESLData!$B$1:$B$9955,0))</f>
        <v>6156.67</v>
      </c>
      <c r="I428" s="370"/>
      <c r="J428" s="382" t="s">
        <v>1304</v>
      </c>
      <c r="K428" s="368" t="str">
        <f>IF(ISNA(HLOOKUP("start",ESLData!C$1:C$9955,MATCH($A428,ESLData!$B$1:$B$9955,0))),"",HLOOKUP("start",ESLData!C$1:C$9955,MATCH($A428,ESLData!$B$1:$B$9955,0)))</f>
        <v>Team Meetings</v>
      </c>
    </row>
    <row r="429" spans="1:11" s="368" customFormat="1" ht="14.25" customHeight="1" x14ac:dyDescent="0.2">
      <c r="A429" s="364">
        <v>60800</v>
      </c>
      <c r="C429" s="363">
        <f>HLOOKUP("start",ESLData!E$1:E$9955,MATCH($A429,ESLData!$B$1:$B$9955,0))</f>
        <v>12645.68</v>
      </c>
      <c r="E429" s="363">
        <f>HLOOKUP("start",ESLData!F$1:F$9955,MATCH($A429,ESLData!$B$1:$B$9955,0))</f>
        <v>15000</v>
      </c>
      <c r="G429" s="363">
        <f>HLOOKUP("start",ESLData!H$1:H$9955,MATCH($A429,ESLData!$B$1:$B$9955,0))</f>
        <v>3407.99</v>
      </c>
      <c r="J429" s="382" t="s">
        <v>1304</v>
      </c>
      <c r="K429" s="368" t="str">
        <f>IF(ISNA(HLOOKUP("start",ESLData!C$1:C$9955,MATCH($A429,ESLData!$B$1:$B$9955,0))),"",HLOOKUP("start",ESLData!C$1:C$9955,MATCH($A429,ESLData!$B$1:$B$9955,0)))</f>
        <v>Co-Ordinator Travel/Accommodat</v>
      </c>
    </row>
    <row r="430" spans="1:11" s="368" customFormat="1" ht="14.25" customHeight="1" x14ac:dyDescent="0.2">
      <c r="A430" s="364">
        <v>60805</v>
      </c>
      <c r="C430" s="363">
        <f>HLOOKUP("start",ESLData!E$1:E$9955,MATCH($A430,ESLData!$B$1:$B$9955,0))</f>
        <v>2345.4499999999998</v>
      </c>
      <c r="E430" s="363">
        <f>HLOOKUP("start",ESLData!F$1:F$9955,MATCH($A430,ESLData!$B$1:$B$9955,0))</f>
        <v>8000</v>
      </c>
      <c r="G430" s="363">
        <f>HLOOKUP("start",ESLData!H$1:H$9955,MATCH($A430,ESLData!$B$1:$B$9955,0))</f>
        <v>5623.85</v>
      </c>
      <c r="J430" s="382" t="s">
        <v>1304</v>
      </c>
      <c r="K430" s="368" t="str">
        <f>IF(ISNA(HLOOKUP("start",ESLData!C$1:C$9955,MATCH($A430,ESLData!$B$1:$B$9955,0))),"",HLOOKUP("start",ESLData!C$1:C$9955,MATCH($A430,ESLData!$B$1:$B$9955,0)))</f>
        <v>O&amp;M Auckl/Northland Trav/Accom</v>
      </c>
    </row>
    <row r="431" spans="1:11" s="368" customFormat="1" ht="14.25" customHeight="1" x14ac:dyDescent="0.2">
      <c r="A431" s="364">
        <v>60810</v>
      </c>
      <c r="C431" s="363">
        <f>HLOOKUP("start",ESLData!E$1:E$9955,MATCH($A431,ESLData!$B$1:$B$9955,0))</f>
        <v>4564.3</v>
      </c>
      <c r="E431" s="363">
        <f>HLOOKUP("start",ESLData!F$1:F$9955,MATCH($A431,ESLData!$B$1:$B$9955,0))</f>
        <v>6000</v>
      </c>
      <c r="G431" s="363">
        <f>HLOOKUP("start",ESLData!H$1:H$9955,MATCH($A431,ESLData!$B$1:$B$9955,0))</f>
        <v>2650.54</v>
      </c>
      <c r="J431" s="382" t="s">
        <v>1304</v>
      </c>
      <c r="K431" s="368" t="str">
        <f>IF(ISNA(HLOOKUP("start",ESLData!C$1:C$9955,MATCH($A431,ESLData!$B$1:$B$9955,0))),"",HLOOKUP("start",ESLData!C$1:C$9955,MATCH($A431,ESLData!$B$1:$B$9955,0)))</f>
        <v>O&amp;M Middle Ni Travel/Accomodat</v>
      </c>
    </row>
    <row r="432" spans="1:11" s="368" customFormat="1" ht="14.25" customHeight="1" x14ac:dyDescent="0.2">
      <c r="A432" s="364">
        <v>60815</v>
      </c>
      <c r="C432" s="363">
        <f>HLOOKUP("start",ESLData!E$1:E$9955,MATCH($A432,ESLData!$B$1:$B$9955,0))</f>
        <v>8625.73</v>
      </c>
      <c r="E432" s="363">
        <f>HLOOKUP("start",ESLData!F$1:F$9955,MATCH($A432,ESLData!$B$1:$B$9955,0))</f>
        <v>14000</v>
      </c>
      <c r="G432" s="363">
        <f>HLOOKUP("start",ESLData!H$1:H$9955,MATCH($A432,ESLData!$B$1:$B$9955,0))</f>
        <v>10421.23</v>
      </c>
      <c r="J432" s="382" t="s">
        <v>1304</v>
      </c>
      <c r="K432" s="368" t="str">
        <f>IF(ISNA(HLOOKUP("start",ESLData!C$1:C$9955,MATCH($A432,ESLData!$B$1:$B$9955,0))),"",HLOOKUP("start",ESLData!C$1:C$9955,MATCH($A432,ESLData!$B$1:$B$9955,0)))</f>
        <v>O&amp;M Lower Ni Travel/Accommodat</v>
      </c>
    </row>
    <row r="433" spans="1:11" s="368" customFormat="1" ht="14.25" customHeight="1" x14ac:dyDescent="0.2">
      <c r="A433" s="364">
        <v>60820</v>
      </c>
      <c r="C433" s="363">
        <f>HLOOKUP("start",ESLData!E$1:E$9955,MATCH($A433,ESLData!$B$1:$B$9955,0))</f>
        <v>10419.66</v>
      </c>
      <c r="E433" s="363">
        <f>HLOOKUP("start",ESLData!F$1:F$9955,MATCH($A433,ESLData!$B$1:$B$9955,0))</f>
        <v>16000</v>
      </c>
      <c r="G433" s="363">
        <f>HLOOKUP("start",ESLData!H$1:H$9955,MATCH($A433,ESLData!$B$1:$B$9955,0))</f>
        <v>9352.89</v>
      </c>
      <c r="J433" s="382" t="s">
        <v>1304</v>
      </c>
      <c r="K433" s="368" t="str">
        <f>IF(ISNA(HLOOKUP("start",ESLData!C$1:C$9955,MATCH($A433,ESLData!$B$1:$B$9955,0))),"",HLOOKUP("start",ESLData!C$1:C$9955,MATCH($A433,ESLData!$B$1:$B$9955,0)))</f>
        <v>O&amp;M Si Travel/Accommodation</v>
      </c>
    </row>
    <row r="434" spans="1:11" s="368" customFormat="1" ht="14.25" customHeight="1" x14ac:dyDescent="0.2">
      <c r="A434" s="364">
        <v>60825</v>
      </c>
      <c r="C434" s="363">
        <f>HLOOKUP("start",ESLData!E$1:E$9955,MATCH($A434,ESLData!$B$1:$B$9955,0))</f>
        <v>13350.56</v>
      </c>
      <c r="E434" s="363">
        <f>HLOOKUP("start",ESLData!F$1:F$9955,MATCH($A434,ESLData!$B$1:$B$9955,0))</f>
        <v>29250</v>
      </c>
      <c r="G434" s="363">
        <f>HLOOKUP("start",ESLData!H$1:H$9955,MATCH($A434,ESLData!$B$1:$B$9955,0))</f>
        <v>24090.28</v>
      </c>
      <c r="J434" s="382" t="s">
        <v>1304</v>
      </c>
      <c r="K434" s="368" t="str">
        <f>IF(ISNA(HLOOKUP("start",ESLData!C$1:C$9955,MATCH($A434,ESLData!$B$1:$B$9955,0))),"",HLOOKUP("start",ESLData!C$1:C$9955,MATCH($A434,ESLData!$B$1:$B$9955,0)))</f>
        <v>Leased Vehicles X 5</v>
      </c>
    </row>
    <row r="435" spans="1:11" s="368" customFormat="1" ht="14.25" customHeight="1" x14ac:dyDescent="0.2">
      <c r="A435" s="364">
        <v>60826</v>
      </c>
      <c r="C435" s="363">
        <f>HLOOKUP("start",ESLData!E$1:E$9955,MATCH($A435,ESLData!$B$1:$B$9955,0))</f>
        <v>2449.9</v>
      </c>
      <c r="E435" s="363">
        <f>HLOOKUP("start",ESLData!F$1:F$9955,MATCH($A435,ESLData!$B$1:$B$9955,0))</f>
        <v>6480</v>
      </c>
      <c r="G435" s="363">
        <f>HLOOKUP("start",ESLData!H$1:H$9955,MATCH($A435,ESLData!$B$1:$B$9955,0))</f>
        <v>2050.3200000000002</v>
      </c>
      <c r="I435" s="370"/>
      <c r="J435" s="382" t="s">
        <v>1304</v>
      </c>
      <c r="K435" s="368" t="str">
        <f>IF(ISNA(HLOOKUP("start",ESLData!C$1:C$9955,MATCH($A435,ESLData!$B$1:$B$9955,0))),"",HLOOKUP("start",ESLData!C$1:C$9955,MATCH($A435,ESLData!$B$1:$B$9955,0)))</f>
        <v>Vehicle Insurance</v>
      </c>
    </row>
    <row r="436" spans="1:11" s="368" customFormat="1" ht="14.25" customHeight="1" x14ac:dyDescent="0.2">
      <c r="A436" s="364">
        <v>60830</v>
      </c>
      <c r="C436" s="363">
        <f>HLOOKUP("start",ESLData!E$1:E$9955,MATCH($A436,ESLData!$B$1:$B$9955,0))</f>
        <v>5562.97</v>
      </c>
      <c r="E436" s="363">
        <f>HLOOKUP("start",ESLData!F$1:F$9955,MATCH($A436,ESLData!$B$1:$B$9955,0))</f>
        <v>8500</v>
      </c>
      <c r="G436" s="363">
        <f>HLOOKUP("start",ESLData!H$1:H$9955,MATCH($A436,ESLData!$B$1:$B$9955,0))</f>
        <v>5231.6899999999996</v>
      </c>
      <c r="J436" s="382" t="s">
        <v>1304</v>
      </c>
      <c r="K436" s="368" t="str">
        <f>IF(ISNA(HLOOKUP("start",ESLData!C$1:C$9955,MATCH($A436,ESLData!$B$1:$B$9955,0))),"",HLOOKUP("start",ESLData!C$1:C$9955,MATCH($A436,ESLData!$B$1:$B$9955,0)))</f>
        <v>Petrol</v>
      </c>
    </row>
    <row r="437" spans="1:11" s="368" customFormat="1" ht="14.25" customHeight="1" x14ac:dyDescent="0.2">
      <c r="A437" s="364">
        <v>61000</v>
      </c>
      <c r="C437" s="363">
        <f>HLOOKUP("start",ESLData!E$1:E$9955,MATCH($A437,ESLData!$B$1:$B$9955,0))</f>
        <v>31678.77</v>
      </c>
      <c r="E437" s="363">
        <f>HLOOKUP("start",ESLData!F$1:F$9955,MATCH($A437,ESLData!$B$1:$B$9955,0))</f>
        <v>30000</v>
      </c>
      <c r="F437" s="369"/>
      <c r="G437" s="363">
        <f>HLOOKUP("start",ESLData!H$1:H$9955,MATCH($A437,ESLData!$B$1:$B$9955,0))</f>
        <v>11166.61</v>
      </c>
      <c r="J437" s="382" t="s">
        <v>1304</v>
      </c>
      <c r="K437" s="368" t="str">
        <f>IF(ISNA(HLOOKUP("start",ESLData!C$1:C$9955,MATCH($A437,ESLData!$B$1:$B$9955,0))),"",HLOOKUP("start",ESLData!C$1:C$9955,MATCH($A437,ESLData!$B$1:$B$9955,0)))</f>
        <v>Travel &amp; Accomodation</v>
      </c>
    </row>
    <row r="438" spans="1:11" s="368" customFormat="1" ht="14.25" customHeight="1" x14ac:dyDescent="0.2">
      <c r="A438" s="364">
        <v>61300</v>
      </c>
      <c r="C438" s="363">
        <f>HLOOKUP("start",ESLData!E$1:E$9955,MATCH($A438,ESLData!$B$1:$B$9955,0))</f>
        <v>2735</v>
      </c>
      <c r="E438" s="363">
        <f>HLOOKUP("start",ESLData!F$1:F$9955,MATCH($A438,ESLData!$B$1:$B$9955,0))</f>
        <v>15200</v>
      </c>
      <c r="F438" s="369"/>
      <c r="G438" s="363">
        <f>HLOOKUP("start",ESLData!H$1:H$9955,MATCH($A438,ESLData!$B$1:$B$9955,0))</f>
        <v>7140.89</v>
      </c>
      <c r="J438" s="382" t="s">
        <v>1304</v>
      </c>
      <c r="K438" s="368" t="str">
        <f>IF(ISNA(HLOOKUP("start",ESLData!C$1:C$9955,MATCH($A438,ESLData!$B$1:$B$9955,0))),"",HLOOKUP("start",ESLData!C$1:C$9955,MATCH($A438,ESLData!$B$1:$B$9955,0)))</f>
        <v>Supervisory Travel &amp; Accom</v>
      </c>
    </row>
    <row r="439" spans="1:11" s="368" customFormat="1" ht="14.25" customHeight="1" x14ac:dyDescent="0.2">
      <c r="A439" s="364">
        <v>61600</v>
      </c>
      <c r="C439" s="363">
        <f>HLOOKUP("start",ESLData!E$1:E$9955,MATCH($A439,ESLData!$B$1:$B$9955,0))</f>
        <v>1698.95</v>
      </c>
      <c r="E439" s="363">
        <f>HLOOKUP("start",ESLData!F$1:F$9955,MATCH($A439,ESLData!$B$1:$B$9955,0))</f>
        <v>2500</v>
      </c>
      <c r="F439" s="369"/>
      <c r="G439" s="363">
        <f>HLOOKUP("start",ESLData!H$1:H$9955,MATCH($A439,ESLData!$B$1:$B$9955,0))</f>
        <v>2147.61</v>
      </c>
      <c r="J439" s="382" t="s">
        <v>1304</v>
      </c>
      <c r="K439" s="368" t="str">
        <f>IF(ISNA(HLOOKUP("start",ESLData!C$1:C$9955,MATCH($A439,ESLData!$B$1:$B$9955,0))),"",HLOOKUP("start",ESLData!C$1:C$9955,MATCH($A439,ESLData!$B$1:$B$9955,0)))</f>
        <v>Massey Travel Costs</v>
      </c>
    </row>
    <row r="440" spans="1:11" s="368" customFormat="1" ht="14.25" customHeight="1" x14ac:dyDescent="0.2">
      <c r="A440" s="364">
        <v>61700</v>
      </c>
      <c r="C440" s="363">
        <f>HLOOKUP("start",ESLData!E$1:E$9955,MATCH($A440,ESLData!$B$1:$B$9955,0))</f>
        <v>4957.24</v>
      </c>
      <c r="E440" s="363">
        <f>HLOOKUP("start",ESLData!F$1:F$9955,MATCH($A440,ESLData!$B$1:$B$9955,0))</f>
        <v>20000</v>
      </c>
      <c r="F440" s="369"/>
      <c r="G440" s="363">
        <f>HLOOKUP("start",ESLData!H$1:H$9955,MATCH($A440,ESLData!$B$1:$B$9955,0))</f>
        <v>12440.12</v>
      </c>
      <c r="J440" s="382" t="s">
        <v>1304</v>
      </c>
      <c r="K440" s="368" t="str">
        <f>IF(ISNA(HLOOKUP("start",ESLData!C$1:C$9955,MATCH($A440,ESLData!$B$1:$B$9955,0))),"",HLOOKUP("start",ESLData!C$1:C$9955,MATCH($A440,ESLData!$B$1:$B$9955,0)))</f>
        <v>RTV Travel &amp; Accom</v>
      </c>
    </row>
    <row r="441" spans="1:11" s="368" customFormat="1" ht="14.25" customHeight="1" x14ac:dyDescent="0.2">
      <c r="A441" s="364">
        <v>35110</v>
      </c>
      <c r="C441" s="363">
        <f>HLOOKUP("start",ESLData!E$1:E$9955,MATCH($A441,ESLData!$B$1:$B$9955,0))</f>
        <v>4421.25</v>
      </c>
      <c r="E441" s="363">
        <f>HLOOKUP("start",ESLData!F$1:F$9955,MATCH($A441,ESLData!$B$1:$B$9955,0))</f>
        <v>5000</v>
      </c>
      <c r="G441" s="363">
        <f>HLOOKUP("start",ESLData!H$1:H$9955,MATCH($A441,ESLData!$B$1:$B$9955,0))</f>
        <v>8167.38</v>
      </c>
      <c r="J441" s="382" t="s">
        <v>1304</v>
      </c>
      <c r="K441" s="368" t="str">
        <f>IF(ISNA(HLOOKUP("start",ESLData!C$1:C$9955,MATCH($A441,ESLData!$B$1:$B$9955,0))),"",HLOOKUP("start",ESLData!C$1:C$9955,MATCH($A441,ESLData!$B$1:$B$9955,0)))</f>
        <v>Telephone Rental/Tolls/Fax</v>
      </c>
    </row>
    <row r="442" spans="1:11" s="368" customFormat="1" ht="14.25" customHeight="1" x14ac:dyDescent="0.2">
      <c r="A442" s="364">
        <v>35135</v>
      </c>
      <c r="C442" s="363">
        <f>HLOOKUP("start",ESLData!E$1:E$9955,MATCH($A442,ESLData!$B$1:$B$9955,0))</f>
        <v>993.49</v>
      </c>
      <c r="E442" s="363">
        <f>HLOOKUP("start",ESLData!F$1:F$9955,MATCH($A442,ESLData!$B$1:$B$9955,0))</f>
        <v>2300</v>
      </c>
      <c r="G442" s="363">
        <f>HLOOKUP("start",ESLData!H$1:H$9955,MATCH($A442,ESLData!$B$1:$B$9955,0))</f>
        <v>1005.58</v>
      </c>
      <c r="J442" s="382" t="s">
        <v>1304</v>
      </c>
      <c r="K442" s="368" t="str">
        <f>IF(ISNA(HLOOKUP("start",ESLData!C$1:C$9955,MATCH($A442,ESLData!$B$1:$B$9955,0))),"",HLOOKUP("start",ESLData!C$1:C$9955,MATCH($A442,ESLData!$B$1:$B$9955,0)))</f>
        <v>Photocopying</v>
      </c>
    </row>
    <row r="443" spans="1:11" s="368" customFormat="1" ht="14.25" customHeight="1" x14ac:dyDescent="0.2">
      <c r="A443" s="364">
        <v>35140</v>
      </c>
      <c r="C443" s="363">
        <f>HLOOKUP("start",ESLData!E$1:E$9955,MATCH($A443,ESLData!$B$1:$B$9955,0))</f>
        <v>2694.16</v>
      </c>
      <c r="E443" s="363">
        <f>HLOOKUP("start",ESLData!F$1:F$9955,MATCH($A443,ESLData!$B$1:$B$9955,0))</f>
        <v>2000</v>
      </c>
      <c r="G443" s="363">
        <f>HLOOKUP("start",ESLData!H$1:H$9955,MATCH($A443,ESLData!$B$1:$B$9955,0))</f>
        <v>2569.12</v>
      </c>
      <c r="J443" s="382" t="s">
        <v>1304</v>
      </c>
      <c r="K443" s="368" t="str">
        <f>IF(ISNA(HLOOKUP("start",ESLData!C$1:C$9955,MATCH($A443,ESLData!$B$1:$B$9955,0))),"",HLOOKUP("start",ESLData!C$1:C$9955,MATCH($A443,ESLData!$B$1:$B$9955,0)))</f>
        <v>Printing/Stationery</v>
      </c>
    </row>
    <row r="444" spans="1:11" s="368" customFormat="1" ht="14.25" customHeight="1" x14ac:dyDescent="0.2">
      <c r="A444" s="364">
        <v>35145</v>
      </c>
      <c r="C444" s="363">
        <f>HLOOKUP("start",ESLData!E$1:E$9955,MATCH($A444,ESLData!$B$1:$B$9955,0))</f>
        <v>7441.02</v>
      </c>
      <c r="E444" s="363">
        <f>HLOOKUP("start",ESLData!F$1:F$9955,MATCH($A444,ESLData!$B$1:$B$9955,0))</f>
        <v>8000</v>
      </c>
      <c r="G444" s="363">
        <f>HLOOKUP("start",ESLData!H$1:H$9955,MATCH($A444,ESLData!$B$1:$B$9955,0))</f>
        <v>7503.1</v>
      </c>
      <c r="J444" s="382" t="s">
        <v>1304</v>
      </c>
      <c r="K444" s="368" t="str">
        <f>IF(ISNA(HLOOKUP("start",ESLData!C$1:C$9955,MATCH($A444,ESLData!$B$1:$B$9955,0))),"",HLOOKUP("start",ESLData!C$1:C$9955,MATCH($A444,ESLData!$B$1:$B$9955,0)))</f>
        <v>Consumables</v>
      </c>
    </row>
    <row r="445" spans="1:11" s="368" customFormat="1" ht="14.25" customHeight="1" x14ac:dyDescent="0.2">
      <c r="A445" s="364">
        <v>35205</v>
      </c>
      <c r="C445" s="363">
        <f>HLOOKUP("start",ESLData!E$1:E$9955,MATCH($A445,ESLData!$B$1:$B$9955,0))</f>
        <v>0</v>
      </c>
      <c r="E445" s="363">
        <f>HLOOKUP("start",ESLData!F$1:F$9955,MATCH($A445,ESLData!$B$1:$B$9955,0))</f>
        <v>0</v>
      </c>
      <c r="G445" s="363">
        <f>HLOOKUP("start",ESLData!H$1:H$9955,MATCH($A445,ESLData!$B$1:$B$9955,0))</f>
        <v>0</v>
      </c>
      <c r="J445" s="382" t="s">
        <v>1304</v>
      </c>
      <c r="K445" s="368" t="str">
        <f>IF(ISNA(HLOOKUP("start",ESLData!C$1:C$9955,MATCH($A445,ESLData!$B$1:$B$9955,0))),"",HLOOKUP("start",ESLData!C$1:C$9955,MATCH($A445,ESLData!$B$1:$B$9955,0)))</f>
        <v>Recruitment</v>
      </c>
    </row>
    <row r="446" spans="1:11" s="368" customFormat="1" ht="14.25" customHeight="1" x14ac:dyDescent="0.2">
      <c r="A446" s="364">
        <v>35220</v>
      </c>
      <c r="C446" s="363">
        <f>HLOOKUP("start",ESLData!E$1:E$9955,MATCH($A446,ESLData!$B$1:$B$9955,0))</f>
        <v>5236.0600000000004</v>
      </c>
      <c r="E446" s="363">
        <f>HLOOKUP("start",ESLData!F$1:F$9955,MATCH($A446,ESLData!$B$1:$B$9955,0))</f>
        <v>5500</v>
      </c>
      <c r="G446" s="363">
        <f>HLOOKUP("start",ESLData!H$1:H$9955,MATCH($A446,ESLData!$B$1:$B$9955,0))</f>
        <v>5043.3100000000004</v>
      </c>
      <c r="J446" s="382" t="s">
        <v>1304</v>
      </c>
      <c r="K446" s="368" t="str">
        <f>IF(ISNA(HLOOKUP("start",ESLData!C$1:C$9955,MATCH($A446,ESLData!$B$1:$B$9955,0))),"",HLOOKUP("start",ESLData!C$1:C$9955,MATCH($A446,ESLData!$B$1:$B$9955,0)))</f>
        <v>Staff Travel &amp; Accomodation</v>
      </c>
    </row>
    <row r="447" spans="1:11" s="368" customFormat="1" ht="14.25" customHeight="1" x14ac:dyDescent="0.2">
      <c r="A447" s="364">
        <v>35230</v>
      </c>
      <c r="C447" s="363">
        <f>HLOOKUP("start",ESLData!E$1:E$9955,MATCH($A447,ESLData!$B$1:$B$9955,0))</f>
        <v>11178.29</v>
      </c>
      <c r="E447" s="363">
        <f>HLOOKUP("start",ESLData!F$1:F$9955,MATCH($A447,ESLData!$B$1:$B$9955,0))</f>
        <v>9800</v>
      </c>
      <c r="G447" s="363">
        <f>HLOOKUP("start",ESLData!H$1:H$9955,MATCH($A447,ESLData!$B$1:$B$9955,0))</f>
        <v>9373.9599999999991</v>
      </c>
      <c r="J447" s="382" t="s">
        <v>1304</v>
      </c>
      <c r="K447" s="368" t="str">
        <f>IF(ISNA(HLOOKUP("start",ESLData!C$1:C$9955,MATCH($A447,ESLData!$B$1:$B$9955,0))),"",HLOOKUP("start",ESLData!C$1:C$9955,MATCH($A447,ESLData!$B$1:$B$9955,0)))</f>
        <v>Petrol</v>
      </c>
    </row>
    <row r="448" spans="1:11" s="368" customFormat="1" ht="14.25" customHeight="1" x14ac:dyDescent="0.2">
      <c r="A448" s="364">
        <v>62100</v>
      </c>
      <c r="C448" s="363">
        <f>HLOOKUP("start",ESLData!E$1:E$9955,MATCH($A448,ESLData!$B$1:$B$9955,0))</f>
        <v>8895.64</v>
      </c>
      <c r="E448" s="363">
        <f>HLOOKUP("start",ESLData!F$1:F$9955,MATCH($A448,ESLData!$B$1:$B$9955,0))</f>
        <v>9000</v>
      </c>
      <c r="G448" s="363">
        <f>HLOOKUP("start",ESLData!H$1:H$9955,MATCH($A448,ESLData!$B$1:$B$9955,0))</f>
        <v>9030.5</v>
      </c>
      <c r="J448" s="382" t="s">
        <v>1304</v>
      </c>
      <c r="K448" s="368" t="str">
        <f>IF(ISNA(HLOOKUP("start",ESLData!C$1:C$9955,MATCH($A448,ESLData!$B$1:$B$9955,0))),"",HLOOKUP("start",ESLData!C$1:C$9955,MATCH($A448,ESLData!$B$1:$B$9955,0)))</f>
        <v>Tel Rental/Tolls/Fax</v>
      </c>
    </row>
    <row r="449" spans="1:11" s="368" customFormat="1" ht="14.25" customHeight="1" x14ac:dyDescent="0.2">
      <c r="A449" s="364">
        <v>62250</v>
      </c>
      <c r="C449" s="363">
        <f>HLOOKUP("start",ESLData!E$1:E$9955,MATCH($A449,ESLData!$B$1:$B$9955,0))</f>
        <v>3388.89</v>
      </c>
      <c r="E449" s="363">
        <f>HLOOKUP("start",ESLData!F$1:F$9955,MATCH($A449,ESLData!$B$1:$B$9955,0))</f>
        <v>3000</v>
      </c>
      <c r="G449" s="363">
        <f>HLOOKUP("start",ESLData!H$1:H$9955,MATCH($A449,ESLData!$B$1:$B$9955,0))</f>
        <v>2437.85</v>
      </c>
      <c r="J449" s="382" t="s">
        <v>1304</v>
      </c>
      <c r="K449" s="368" t="str">
        <f>IF(ISNA(HLOOKUP("start",ESLData!C$1:C$9955,MATCH($A449,ESLData!$B$1:$B$9955,0))),"",HLOOKUP("start",ESLData!C$1:C$9955,MATCH($A449,ESLData!$B$1:$B$9955,0)))</f>
        <v>Photocopying</v>
      </c>
    </row>
    <row r="450" spans="1:11" s="368" customFormat="1" ht="14.25" customHeight="1" x14ac:dyDescent="0.2">
      <c r="A450" s="364">
        <v>62300</v>
      </c>
      <c r="C450" s="363">
        <f>HLOOKUP("start",ESLData!E$1:E$9955,MATCH($A450,ESLData!$B$1:$B$9955,0))</f>
        <v>2751.37</v>
      </c>
      <c r="E450" s="363">
        <f>HLOOKUP("start",ESLData!F$1:F$9955,MATCH($A450,ESLData!$B$1:$B$9955,0))</f>
        <v>3000</v>
      </c>
      <c r="G450" s="363">
        <f>HLOOKUP("start",ESLData!H$1:H$9955,MATCH($A450,ESLData!$B$1:$B$9955,0))</f>
        <v>3894.7</v>
      </c>
      <c r="J450" s="382" t="s">
        <v>1304</v>
      </c>
      <c r="K450" s="368" t="str">
        <f>IF(ISNA(HLOOKUP("start",ESLData!C$1:C$9955,MATCH($A450,ESLData!$B$1:$B$9955,0))),"",HLOOKUP("start",ESLData!C$1:C$9955,MATCH($A450,ESLData!$B$1:$B$9955,0)))</f>
        <v>Printing/Stationery</v>
      </c>
    </row>
    <row r="451" spans="1:11" s="368" customFormat="1" ht="14.25" customHeight="1" x14ac:dyDescent="0.2">
      <c r="A451" s="364">
        <v>62350</v>
      </c>
      <c r="C451" s="363">
        <f>HLOOKUP("start",ESLData!E$1:E$9955,MATCH($A451,ESLData!$B$1:$B$9955,0))</f>
        <v>5635.24</v>
      </c>
      <c r="E451" s="363">
        <f>HLOOKUP("start",ESLData!F$1:F$9955,MATCH($A451,ESLData!$B$1:$B$9955,0))</f>
        <v>4800</v>
      </c>
      <c r="G451" s="363">
        <f>HLOOKUP("start",ESLData!H$1:H$9955,MATCH($A451,ESLData!$B$1:$B$9955,0))</f>
        <v>5822.9</v>
      </c>
      <c r="J451" s="382" t="s">
        <v>1304</v>
      </c>
      <c r="K451" s="368" t="str">
        <f>IF(ISNA(HLOOKUP("start",ESLData!C$1:C$9955,MATCH($A451,ESLData!$B$1:$B$9955,0))),"",HLOOKUP("start",ESLData!C$1:C$9955,MATCH($A451,ESLData!$B$1:$B$9955,0)))</f>
        <v>Consumables</v>
      </c>
    </row>
    <row r="452" spans="1:11" s="368" customFormat="1" ht="14.25" customHeight="1" x14ac:dyDescent="0.2">
      <c r="A452" s="364">
        <v>62550</v>
      </c>
      <c r="C452" s="363">
        <f>HLOOKUP("start",ESLData!E$1:E$9955,MATCH($A452,ESLData!$B$1:$B$9955,0))</f>
        <v>0</v>
      </c>
      <c r="E452" s="363">
        <f>HLOOKUP("start",ESLData!F$1:F$9955,MATCH($A452,ESLData!$B$1:$B$9955,0))</f>
        <v>500</v>
      </c>
      <c r="G452" s="363">
        <f>HLOOKUP("start",ESLData!H$1:H$9955,MATCH($A452,ESLData!$B$1:$B$9955,0))</f>
        <v>195.65</v>
      </c>
      <c r="J452" s="382" t="s">
        <v>1304</v>
      </c>
      <c r="K452" s="368" t="str">
        <f>IF(ISNA(HLOOKUP("start",ESLData!C$1:C$9955,MATCH($A452,ESLData!$B$1:$B$9955,0))),"",HLOOKUP("start",ESLData!C$1:C$9955,MATCH($A452,ESLData!$B$1:$B$9955,0)))</f>
        <v>Recruitment</v>
      </c>
    </row>
    <row r="453" spans="1:11" s="368" customFormat="1" ht="14.25" customHeight="1" x14ac:dyDescent="0.2">
      <c r="A453" s="364">
        <v>62570</v>
      </c>
      <c r="C453" s="363">
        <f>HLOOKUP("start",ESLData!E$1:E$9955,MATCH($A453,ESLData!$B$1:$B$9955,0))</f>
        <v>10153.41</v>
      </c>
      <c r="E453" s="363">
        <f>HLOOKUP("start",ESLData!F$1:F$9955,MATCH($A453,ESLData!$B$1:$B$9955,0))</f>
        <v>11000</v>
      </c>
      <c r="G453" s="363">
        <f>HLOOKUP("start",ESLData!H$1:H$9955,MATCH($A453,ESLData!$B$1:$B$9955,0))</f>
        <v>11403.74</v>
      </c>
      <c r="J453" s="382" t="s">
        <v>1304</v>
      </c>
      <c r="K453" s="368" t="str">
        <f>IF(ISNA(HLOOKUP("start",ESLData!C$1:C$9955,MATCH($A453,ESLData!$B$1:$B$9955,0))),"",HLOOKUP("start",ESLData!C$1:C$9955,MATCH($A453,ESLData!$B$1:$B$9955,0)))</f>
        <v>Staff Travel/Accomodation</v>
      </c>
    </row>
    <row r="454" spans="1:11" s="368" customFormat="1" ht="14.25" customHeight="1" x14ac:dyDescent="0.2">
      <c r="A454" s="364">
        <v>62580</v>
      </c>
      <c r="C454" s="363">
        <f>HLOOKUP("start",ESLData!E$1:E$9955,MATCH($A454,ESLData!$B$1:$B$9955,0))</f>
        <v>13599.29</v>
      </c>
      <c r="E454" s="363">
        <f>HLOOKUP("start",ESLData!F$1:F$9955,MATCH($A454,ESLData!$B$1:$B$9955,0))</f>
        <v>12000</v>
      </c>
      <c r="G454" s="363">
        <f>HLOOKUP("start",ESLData!H$1:H$9955,MATCH($A454,ESLData!$B$1:$B$9955,0))</f>
        <v>11939.66</v>
      </c>
      <c r="J454" s="382" t="s">
        <v>1304</v>
      </c>
      <c r="K454" s="368" t="str">
        <f>IF(ISNA(HLOOKUP("start",ESLData!C$1:C$9955,MATCH($A454,ESLData!$B$1:$B$9955,0))),"",HLOOKUP("start",ESLData!C$1:C$9955,MATCH($A454,ESLData!$B$1:$B$9955,0)))</f>
        <v>Petrol</v>
      </c>
    </row>
    <row r="455" spans="1:11" s="368" customFormat="1" ht="14.25" customHeight="1" x14ac:dyDescent="0.2">
      <c r="A455" s="364">
        <v>63350</v>
      </c>
      <c r="C455" s="363">
        <f>HLOOKUP("start",ESLData!E$1:E$9955,MATCH($A455,ESLData!$B$1:$B$9955,0))</f>
        <v>2578.2399999999998</v>
      </c>
      <c r="E455" s="363">
        <f>HLOOKUP("start",ESLData!F$1:F$9955,MATCH($A455,ESLData!$B$1:$B$9955,0))</f>
        <v>3000</v>
      </c>
      <c r="G455" s="363">
        <f>HLOOKUP("start",ESLData!H$1:H$9955,MATCH($A455,ESLData!$B$1:$B$9955,0))</f>
        <v>3796.58</v>
      </c>
      <c r="J455" s="382" t="s">
        <v>1304</v>
      </c>
      <c r="K455" s="368" t="str">
        <f>IF(ISNA(HLOOKUP("start",ESLData!C$1:C$9955,MATCH($A455,ESLData!$B$1:$B$9955,0))),"",HLOOKUP("start",ESLData!C$1:C$9955,MATCH($A455,ESLData!$B$1:$B$9955,0)))</f>
        <v>Consumables</v>
      </c>
    </row>
    <row r="456" spans="1:11" s="368" customFormat="1" ht="14.25" customHeight="1" x14ac:dyDescent="0.2">
      <c r="A456" s="364">
        <v>63100</v>
      </c>
      <c r="C456" s="363">
        <f>HLOOKUP("start",ESLData!E$1:E$9955,MATCH($A456,ESLData!$B$1:$B$9955,0))</f>
        <v>2553.2199999999998</v>
      </c>
      <c r="E456" s="363">
        <f>HLOOKUP("start",ESLData!F$1:F$9955,MATCH($A456,ESLData!$B$1:$B$9955,0))</f>
        <v>3000</v>
      </c>
      <c r="G456" s="363">
        <f>HLOOKUP("start",ESLData!H$1:H$9955,MATCH($A456,ESLData!$B$1:$B$9955,0))</f>
        <v>4008.36</v>
      </c>
      <c r="J456" s="382" t="s">
        <v>1304</v>
      </c>
      <c r="K456" s="368" t="str">
        <f>IF(ISNA(HLOOKUP("start",ESLData!C$1:C$9955,MATCH($A456,ESLData!$B$1:$B$9955,0))),"",HLOOKUP("start",ESLData!C$1:C$9955,MATCH($A456,ESLData!$B$1:$B$9955,0)))</f>
        <v>Tel Rental/Tolls/Fax</v>
      </c>
    </row>
    <row r="457" spans="1:11" s="368" customFormat="1" ht="14.25" customHeight="1" x14ac:dyDescent="0.2">
      <c r="A457" s="364">
        <v>63250</v>
      </c>
      <c r="C457" s="363">
        <f>HLOOKUP("start",ESLData!E$1:E$9955,MATCH($A457,ESLData!$B$1:$B$9955,0))</f>
        <v>546.29999999999995</v>
      </c>
      <c r="E457" s="363">
        <f>HLOOKUP("start",ESLData!F$1:F$9955,MATCH($A457,ESLData!$B$1:$B$9955,0))</f>
        <v>1200</v>
      </c>
      <c r="G457" s="363">
        <f>HLOOKUP("start",ESLData!H$1:H$9955,MATCH($A457,ESLData!$B$1:$B$9955,0))</f>
        <v>585.66999999999996</v>
      </c>
      <c r="J457" s="382" t="s">
        <v>1304</v>
      </c>
      <c r="K457" s="368" t="str">
        <f>IF(ISNA(HLOOKUP("start",ESLData!C$1:C$9955,MATCH($A457,ESLData!$B$1:$B$9955,0))),"",HLOOKUP("start",ESLData!C$1:C$9955,MATCH($A457,ESLData!$B$1:$B$9955,0)))</f>
        <v>Photocopying</v>
      </c>
    </row>
    <row r="458" spans="1:11" s="368" customFormat="1" ht="14.25" customHeight="1" x14ac:dyDescent="0.2">
      <c r="A458" s="364">
        <v>63300</v>
      </c>
      <c r="C458" s="363">
        <f>HLOOKUP("start",ESLData!E$1:E$9955,MATCH($A458,ESLData!$B$1:$B$9955,0))</f>
        <v>1702.56</v>
      </c>
      <c r="E458" s="363">
        <f>HLOOKUP("start",ESLData!F$1:F$9955,MATCH($A458,ESLData!$B$1:$B$9955,0))</f>
        <v>1500</v>
      </c>
      <c r="G458" s="363">
        <f>HLOOKUP("start",ESLData!H$1:H$9955,MATCH($A458,ESLData!$B$1:$B$9955,0))</f>
        <v>1672.62</v>
      </c>
      <c r="J458" s="382" t="s">
        <v>1304</v>
      </c>
      <c r="K458" s="368" t="str">
        <f>IF(ISNA(HLOOKUP("start",ESLData!C$1:C$9955,MATCH($A458,ESLData!$B$1:$B$9955,0))),"",HLOOKUP("start",ESLData!C$1:C$9955,MATCH($A458,ESLData!$B$1:$B$9955,0)))</f>
        <v>Printing/Stationery</v>
      </c>
    </row>
    <row r="459" spans="1:11" s="368" customFormat="1" ht="14.25" customHeight="1" x14ac:dyDescent="0.2">
      <c r="A459" s="364">
        <v>63550</v>
      </c>
      <c r="C459" s="363">
        <f>HLOOKUP("start",ESLData!E$1:E$9955,MATCH($A459,ESLData!$B$1:$B$9955,0))</f>
        <v>0</v>
      </c>
      <c r="E459" s="363">
        <f>HLOOKUP("start",ESLData!F$1:F$9955,MATCH($A459,ESLData!$B$1:$B$9955,0))</f>
        <v>500</v>
      </c>
      <c r="G459" s="363">
        <f>HLOOKUP("start",ESLData!H$1:H$9955,MATCH($A459,ESLData!$B$1:$B$9955,0))</f>
        <v>195.65</v>
      </c>
      <c r="J459" s="382" t="s">
        <v>1304</v>
      </c>
      <c r="K459" s="368" t="str">
        <f>IF(ISNA(HLOOKUP("start",ESLData!C$1:C$9955,MATCH($A459,ESLData!$B$1:$B$9955,0))),"",HLOOKUP("start",ESLData!C$1:C$9955,MATCH($A459,ESLData!$B$1:$B$9955,0)))</f>
        <v>Recruitment</v>
      </c>
    </row>
    <row r="460" spans="1:11" s="368" customFormat="1" ht="14.25" customHeight="1" x14ac:dyDescent="0.2">
      <c r="A460" s="364">
        <v>63570</v>
      </c>
      <c r="C460" s="363">
        <f>HLOOKUP("start",ESLData!E$1:E$9955,MATCH($A460,ESLData!$B$1:$B$9955,0))</f>
        <v>5784.88</v>
      </c>
      <c r="E460" s="363">
        <f>HLOOKUP("start",ESLData!F$1:F$9955,MATCH($A460,ESLData!$B$1:$B$9955,0))</f>
        <v>5500</v>
      </c>
      <c r="G460" s="363">
        <f>HLOOKUP("start",ESLData!H$1:H$9955,MATCH($A460,ESLData!$B$1:$B$9955,0))</f>
        <v>6913.77</v>
      </c>
      <c r="J460" s="382" t="s">
        <v>1304</v>
      </c>
      <c r="K460" s="368" t="str">
        <f>IF(ISNA(HLOOKUP("start",ESLData!C$1:C$9955,MATCH($A460,ESLData!$B$1:$B$9955,0))),"",HLOOKUP("start",ESLData!C$1:C$9955,MATCH($A460,ESLData!$B$1:$B$9955,0)))</f>
        <v>Staff Travel/Accom</v>
      </c>
    </row>
    <row r="461" spans="1:11" s="368" customFormat="1" ht="14.25" customHeight="1" x14ac:dyDescent="0.2">
      <c r="A461" s="364">
        <v>63580</v>
      </c>
      <c r="C461" s="363">
        <f>HLOOKUP("start",ESLData!E$1:E$9955,MATCH($A461,ESLData!$B$1:$B$9955,0))</f>
        <v>8494.7199999999993</v>
      </c>
      <c r="E461" s="363">
        <f>HLOOKUP("start",ESLData!F$1:F$9955,MATCH($A461,ESLData!$B$1:$B$9955,0))</f>
        <v>8000</v>
      </c>
      <c r="G461" s="363">
        <f>HLOOKUP("start",ESLData!H$1:H$9955,MATCH($A461,ESLData!$B$1:$B$9955,0))</f>
        <v>6538.04</v>
      </c>
      <c r="J461" s="382" t="s">
        <v>1304</v>
      </c>
      <c r="K461" s="368" t="str">
        <f>IF(ISNA(HLOOKUP("start",ESLData!C$1:C$9955,MATCH($A461,ESLData!$B$1:$B$9955,0))),"",HLOOKUP("start",ESLData!C$1:C$9955,MATCH($A461,ESLData!$B$1:$B$9955,0)))</f>
        <v>Petrol</v>
      </c>
    </row>
    <row r="462" spans="1:11" s="368" customFormat="1" ht="14.25" customHeight="1" x14ac:dyDescent="0.2">
      <c r="A462" s="364">
        <v>35305</v>
      </c>
      <c r="C462" s="363">
        <f>HLOOKUP("start",ESLData!E$1:E$9955,MATCH($A462,ESLData!$B$1:$B$9955,0))</f>
        <v>2095.67</v>
      </c>
      <c r="E462" s="363">
        <f>HLOOKUP("start",ESLData!F$1:F$9955,MATCH($A462,ESLData!$B$1:$B$9955,0))</f>
        <v>2000</v>
      </c>
      <c r="G462" s="363">
        <f>HLOOKUP("start",ESLData!H$1:H$9955,MATCH($A462,ESLData!$B$1:$B$9955,0))</f>
        <v>4843.1899999999996</v>
      </c>
      <c r="J462" s="382" t="s">
        <v>1304</v>
      </c>
      <c r="K462" s="368" t="str">
        <f>IF(ISNA(HLOOKUP("start",ESLData!C$1:C$9955,MATCH($A462,ESLData!$B$1:$B$9955,0))),"",HLOOKUP("start",ESLData!C$1:C$9955,MATCH($A462,ESLData!$B$1:$B$9955,0)))</f>
        <v>Telephone Rental/ Tolls/ Fax</v>
      </c>
    </row>
    <row r="463" spans="1:11" s="368" customFormat="1" ht="14.25" customHeight="1" x14ac:dyDescent="0.2">
      <c r="A463" s="364">
        <v>35330</v>
      </c>
      <c r="C463" s="363">
        <f>HLOOKUP("start",ESLData!E$1:E$9955,MATCH($A463,ESLData!$B$1:$B$9955,0))</f>
        <v>748.76</v>
      </c>
      <c r="E463" s="363">
        <f>HLOOKUP("start",ESLData!F$1:F$9955,MATCH($A463,ESLData!$B$1:$B$9955,0))</f>
        <v>1200</v>
      </c>
      <c r="G463" s="363">
        <f>HLOOKUP("start",ESLData!H$1:H$9955,MATCH($A463,ESLData!$B$1:$B$9955,0))</f>
        <v>621.54999999999995</v>
      </c>
      <c r="J463" s="382" t="s">
        <v>1304</v>
      </c>
      <c r="K463" s="368" t="str">
        <f>IF(ISNA(HLOOKUP("start",ESLData!C$1:C$9955,MATCH($A463,ESLData!$B$1:$B$9955,0))),"",HLOOKUP("start",ESLData!C$1:C$9955,MATCH($A463,ESLData!$B$1:$B$9955,0)))</f>
        <v>Photocopying</v>
      </c>
    </row>
    <row r="464" spans="1:11" s="368" customFormat="1" ht="14.25" customHeight="1" x14ac:dyDescent="0.2">
      <c r="A464" s="364">
        <v>35335</v>
      </c>
      <c r="C464" s="363">
        <f>HLOOKUP("start",ESLData!E$1:E$9955,MATCH($A464,ESLData!$B$1:$B$9955,0))</f>
        <v>1266.98</v>
      </c>
      <c r="E464" s="363">
        <f>HLOOKUP("start",ESLData!F$1:F$9955,MATCH($A464,ESLData!$B$1:$B$9955,0))</f>
        <v>1500</v>
      </c>
      <c r="G464" s="363">
        <f>HLOOKUP("start",ESLData!H$1:H$9955,MATCH($A464,ESLData!$B$1:$B$9955,0))</f>
        <v>1439.1</v>
      </c>
      <c r="J464" s="382" t="s">
        <v>1304</v>
      </c>
      <c r="K464" s="368" t="str">
        <f>IF(ISNA(HLOOKUP("start",ESLData!C$1:C$9955,MATCH($A464,ESLData!$B$1:$B$9955,0))),"",HLOOKUP("start",ESLData!C$1:C$9955,MATCH($A464,ESLData!$B$1:$B$9955,0)))</f>
        <v>Printing &amp; Stationery</v>
      </c>
    </row>
    <row r="465" spans="1:11" s="368" customFormat="1" ht="14.25" customHeight="1" x14ac:dyDescent="0.2">
      <c r="A465" s="364">
        <v>35340</v>
      </c>
      <c r="C465" s="363">
        <f>HLOOKUP("start",ESLData!E$1:E$9955,MATCH($A465,ESLData!$B$1:$B$9955,0))</f>
        <v>2197.25</v>
      </c>
      <c r="E465" s="363">
        <f>HLOOKUP("start",ESLData!F$1:F$9955,MATCH($A465,ESLData!$B$1:$B$9955,0))</f>
        <v>2800</v>
      </c>
      <c r="G465" s="363">
        <f>HLOOKUP("start",ESLData!H$1:H$9955,MATCH($A465,ESLData!$B$1:$B$9955,0))</f>
        <v>3252.12</v>
      </c>
      <c r="J465" s="382" t="s">
        <v>1304</v>
      </c>
      <c r="K465" s="368" t="str">
        <f>IF(ISNA(HLOOKUP("start",ESLData!C$1:C$9955,MATCH($A465,ESLData!$B$1:$B$9955,0))),"",HLOOKUP("start",ESLData!C$1:C$9955,MATCH($A465,ESLData!$B$1:$B$9955,0)))</f>
        <v>Consumables</v>
      </c>
    </row>
    <row r="466" spans="1:11" s="368" customFormat="1" ht="14.25" customHeight="1" x14ac:dyDescent="0.2">
      <c r="A466" s="364">
        <v>35415</v>
      </c>
      <c r="C466" s="363">
        <f>HLOOKUP("start",ESLData!E$1:E$9955,MATCH($A466,ESLData!$B$1:$B$9955,0))</f>
        <v>5457.31</v>
      </c>
      <c r="E466" s="363">
        <f>HLOOKUP("start",ESLData!F$1:F$9955,MATCH($A466,ESLData!$B$1:$B$9955,0))</f>
        <v>5000</v>
      </c>
      <c r="G466" s="363">
        <f>HLOOKUP("start",ESLData!H$1:H$9955,MATCH($A466,ESLData!$B$1:$B$9955,0))</f>
        <v>4244.58</v>
      </c>
      <c r="J466" s="382" t="s">
        <v>1304</v>
      </c>
      <c r="K466" s="368" t="str">
        <f>IF(ISNA(HLOOKUP("start",ESLData!C$1:C$9955,MATCH($A466,ESLData!$B$1:$B$9955,0))),"",HLOOKUP("start",ESLData!C$1:C$9955,MATCH($A466,ESLData!$B$1:$B$9955,0)))</f>
        <v>Staff Travel &amp; Accommodation</v>
      </c>
    </row>
    <row r="467" spans="1:11" s="368" customFormat="1" ht="14.25" customHeight="1" x14ac:dyDescent="0.2">
      <c r="A467" s="364">
        <v>35425</v>
      </c>
      <c r="C467" s="363">
        <f>HLOOKUP("start",ESLData!E$1:E$9955,MATCH($A467,ESLData!$B$1:$B$9955,0))</f>
        <v>1630.4</v>
      </c>
      <c r="E467" s="363">
        <f>HLOOKUP("start",ESLData!F$1:F$9955,MATCH($A467,ESLData!$B$1:$B$9955,0))</f>
        <v>2200</v>
      </c>
      <c r="G467" s="363">
        <f>HLOOKUP("start",ESLData!H$1:H$9955,MATCH($A467,ESLData!$B$1:$B$9955,0))</f>
        <v>1565.8</v>
      </c>
      <c r="J467" s="382" t="s">
        <v>1304</v>
      </c>
      <c r="K467" s="368" t="str">
        <f>IF(ISNA(HLOOKUP("start",ESLData!C$1:C$9955,MATCH($A467,ESLData!$B$1:$B$9955,0))),"",HLOOKUP("start",ESLData!C$1:C$9955,MATCH($A467,ESLData!$B$1:$B$9955,0)))</f>
        <v>Petrol</v>
      </c>
    </row>
    <row r="468" spans="1:11" s="368" customFormat="1" ht="14.25" customHeight="1" x14ac:dyDescent="0.2">
      <c r="A468" s="364">
        <v>35605</v>
      </c>
      <c r="C468" s="363">
        <f>HLOOKUP("start",ESLData!E$1:E$9955,MATCH($A468,ESLData!$B$1:$B$9955,0))</f>
        <v>1965.72</v>
      </c>
      <c r="E468" s="363">
        <f>HLOOKUP("start",ESLData!F$1:F$9955,MATCH($A468,ESLData!$B$1:$B$9955,0))</f>
        <v>1800</v>
      </c>
      <c r="G468" s="363">
        <f>HLOOKUP("start",ESLData!H$1:H$9955,MATCH($A468,ESLData!$B$1:$B$9955,0))</f>
        <v>5486.06</v>
      </c>
      <c r="J468" s="382" t="s">
        <v>1304</v>
      </c>
      <c r="K468" s="368" t="str">
        <f>IF(ISNA(HLOOKUP("start",ESLData!C$1:C$9955,MATCH($A468,ESLData!$B$1:$B$9955,0))),"",HLOOKUP("start",ESLData!C$1:C$9955,MATCH($A468,ESLData!$B$1:$B$9955,0)))</f>
        <v>Telephone Rental/Tolls/Faxes</v>
      </c>
    </row>
    <row r="469" spans="1:11" s="368" customFormat="1" ht="14.25" customHeight="1" x14ac:dyDescent="0.2">
      <c r="A469" s="364">
        <v>35630</v>
      </c>
      <c r="C469" s="363">
        <f>HLOOKUP("start",ESLData!E$1:E$9955,MATCH($A469,ESLData!$B$1:$B$9955,0))</f>
        <v>640.77</v>
      </c>
      <c r="E469" s="363">
        <f>HLOOKUP("start",ESLData!F$1:F$9955,MATCH($A469,ESLData!$B$1:$B$9955,0))</f>
        <v>800</v>
      </c>
      <c r="G469" s="363">
        <f>HLOOKUP("start",ESLData!H$1:H$9955,MATCH($A469,ESLData!$B$1:$B$9955,0))</f>
        <v>619.83000000000004</v>
      </c>
      <c r="J469" s="382" t="s">
        <v>1304</v>
      </c>
      <c r="K469" s="368" t="str">
        <f>IF(ISNA(HLOOKUP("start",ESLData!C$1:C$9955,MATCH($A469,ESLData!$B$1:$B$9955,0))),"",HLOOKUP("start",ESLData!C$1:C$9955,MATCH($A469,ESLData!$B$1:$B$9955,0)))</f>
        <v>Printing/Stationery</v>
      </c>
    </row>
    <row r="470" spans="1:11" s="368" customFormat="1" ht="14.25" customHeight="1" x14ac:dyDescent="0.2">
      <c r="A470" s="364">
        <v>35645</v>
      </c>
      <c r="C470" s="363">
        <f>HLOOKUP("start",ESLData!E$1:E$9955,MATCH($A470,ESLData!$B$1:$B$9955,0))</f>
        <v>927.68</v>
      </c>
      <c r="E470" s="363">
        <f>HLOOKUP("start",ESLData!F$1:F$9955,MATCH($A470,ESLData!$B$1:$B$9955,0))</f>
        <v>1200</v>
      </c>
      <c r="G470" s="363">
        <f>HLOOKUP("start",ESLData!H$1:H$9955,MATCH($A470,ESLData!$B$1:$B$9955,0))</f>
        <v>537.82000000000005</v>
      </c>
      <c r="J470" s="382" t="s">
        <v>1304</v>
      </c>
      <c r="K470" s="368" t="str">
        <f>IF(ISNA(HLOOKUP("start",ESLData!C$1:C$9955,MATCH($A470,ESLData!$B$1:$B$9955,0))),"",HLOOKUP("start",ESLData!C$1:C$9955,MATCH($A470,ESLData!$B$1:$B$9955,0)))</f>
        <v>Photocopying</v>
      </c>
    </row>
    <row r="471" spans="1:11" s="368" customFormat="1" ht="14.25" customHeight="1" x14ac:dyDescent="0.2">
      <c r="A471" s="364">
        <v>35635</v>
      </c>
      <c r="C471" s="363">
        <f>HLOOKUP("start",ESLData!E$1:E$9955,MATCH($A471,ESLData!$B$1:$B$9955,0))</f>
        <v>1135.76</v>
      </c>
      <c r="E471" s="363">
        <f>HLOOKUP("start",ESLData!F$1:F$9955,MATCH($A471,ESLData!$B$1:$B$9955,0))</f>
        <v>1500</v>
      </c>
      <c r="G471" s="363">
        <f>HLOOKUP("start",ESLData!H$1:H$9955,MATCH($A471,ESLData!$B$1:$B$9955,0))</f>
        <v>2279.0100000000002</v>
      </c>
      <c r="J471" s="382" t="s">
        <v>1304</v>
      </c>
      <c r="K471" s="368" t="str">
        <f>IF(ISNA(HLOOKUP("start",ESLData!C$1:C$9955,MATCH($A471,ESLData!$B$1:$B$9955,0))),"",HLOOKUP("start",ESLData!C$1:C$9955,MATCH($A471,ESLData!$B$1:$B$9955,0)))</f>
        <v>Consumables</v>
      </c>
    </row>
    <row r="472" spans="1:11" s="368" customFormat="1" ht="14.25" customHeight="1" x14ac:dyDescent="0.2">
      <c r="A472" s="364">
        <v>35710</v>
      </c>
      <c r="C472" s="363">
        <f>HLOOKUP("start",ESLData!E$1:E$9955,MATCH($A472,ESLData!$B$1:$B$9955,0))</f>
        <v>7931.59</v>
      </c>
      <c r="E472" s="363">
        <f>HLOOKUP("start",ESLData!F$1:F$9955,MATCH($A472,ESLData!$B$1:$B$9955,0))</f>
        <v>3500</v>
      </c>
      <c r="G472" s="363">
        <f>HLOOKUP("start",ESLData!H$1:H$9955,MATCH($A472,ESLData!$B$1:$B$9955,0))</f>
        <v>3062.04</v>
      </c>
      <c r="J472" s="382" t="s">
        <v>1304</v>
      </c>
      <c r="K472" s="368" t="str">
        <f>IF(ISNA(HLOOKUP("start",ESLData!C$1:C$9955,MATCH($A472,ESLData!$B$1:$B$9955,0))),"",HLOOKUP("start",ESLData!C$1:C$9955,MATCH($A472,ESLData!$B$1:$B$9955,0)))</f>
        <v>Staff Travel &amp; Accommodation</v>
      </c>
    </row>
    <row r="473" spans="1:11" s="368" customFormat="1" ht="14.25" customHeight="1" x14ac:dyDescent="0.2">
      <c r="A473" s="364">
        <v>35720</v>
      </c>
      <c r="C473" s="363">
        <f>HLOOKUP("start",ESLData!E$1:E$9955,MATCH($A473,ESLData!$B$1:$B$9955,0))</f>
        <v>1931.4</v>
      </c>
      <c r="E473" s="363">
        <f>HLOOKUP("start",ESLData!F$1:F$9955,MATCH($A473,ESLData!$B$1:$B$9955,0))</f>
        <v>1800</v>
      </c>
      <c r="G473" s="363">
        <f>HLOOKUP("start",ESLData!H$1:H$9955,MATCH($A473,ESLData!$B$1:$B$9955,0))</f>
        <v>1531.1</v>
      </c>
      <c r="J473" s="382" t="s">
        <v>1304</v>
      </c>
      <c r="K473" s="368" t="str">
        <f>IF(ISNA(HLOOKUP("start",ESLData!C$1:C$9955,MATCH($A473,ESLData!$B$1:$B$9955,0))),"",HLOOKUP("start",ESLData!C$1:C$9955,MATCH($A473,ESLData!$B$1:$B$9955,0)))</f>
        <v>Petrol</v>
      </c>
    </row>
    <row r="474" spans="1:11" s="368" customFormat="1" ht="14.25" customHeight="1" x14ac:dyDescent="0.2">
      <c r="A474" s="364">
        <v>39002</v>
      </c>
      <c r="C474" s="363">
        <f>HLOOKUP("start",ESLData!E$1:E$9955,MATCH($A474,ESLData!$B$1:$B$9955,0))</f>
        <v>4572.9399999999996</v>
      </c>
      <c r="E474" s="363">
        <f>HLOOKUP("start",ESLData!F$1:F$9955,MATCH($A474,ESLData!$B$1:$B$9955,0))</f>
        <v>5000</v>
      </c>
      <c r="G474" s="363">
        <f>HLOOKUP("start",ESLData!H$1:H$9955,MATCH($A474,ESLData!$B$1:$B$9955,0))</f>
        <v>10142.74</v>
      </c>
      <c r="J474" s="382" t="s">
        <v>1304</v>
      </c>
      <c r="K474" s="368" t="str">
        <f>IF(ISNA(HLOOKUP("start",ESLData!C$1:C$9955,MATCH($A474,ESLData!$B$1:$B$9955,0))),"",HLOOKUP("start",ESLData!C$1:C$9955,MATCH($A474,ESLData!$B$1:$B$9955,0)))</f>
        <v>Deanwell - Telecommunications</v>
      </c>
    </row>
    <row r="475" spans="1:11" s="368" customFormat="1" ht="14.25" customHeight="1" x14ac:dyDescent="0.2">
      <c r="A475" s="364">
        <v>39007</v>
      </c>
      <c r="C475" s="363">
        <f>HLOOKUP("start",ESLData!E$1:E$9955,MATCH($A475,ESLData!$B$1:$B$9955,0))</f>
        <v>1344.15</v>
      </c>
      <c r="E475" s="363">
        <f>HLOOKUP("start",ESLData!F$1:F$9955,MATCH($A475,ESLData!$B$1:$B$9955,0))</f>
        <v>1800</v>
      </c>
      <c r="G475" s="363">
        <f>HLOOKUP("start",ESLData!H$1:H$9955,MATCH($A475,ESLData!$B$1:$B$9955,0))</f>
        <v>934.86</v>
      </c>
      <c r="J475" s="382" t="s">
        <v>1304</v>
      </c>
      <c r="K475" s="368" t="str">
        <f>IF(ISNA(HLOOKUP("start",ESLData!C$1:C$9955,MATCH($A475,ESLData!$B$1:$B$9955,0))),"",HLOOKUP("start",ESLData!C$1:C$9955,MATCH($A475,ESLData!$B$1:$B$9955,0)))</f>
        <v>Photocopying</v>
      </c>
    </row>
    <row r="476" spans="1:11" s="368" customFormat="1" ht="14.25" customHeight="1" x14ac:dyDescent="0.2">
      <c r="A476" s="364">
        <v>39008</v>
      </c>
      <c r="C476" s="363">
        <f>HLOOKUP("start",ESLData!E$1:E$9955,MATCH($A476,ESLData!$B$1:$B$9955,0))</f>
        <v>1480.47</v>
      </c>
      <c r="E476" s="363">
        <f>HLOOKUP("start",ESLData!F$1:F$9955,MATCH($A476,ESLData!$B$1:$B$9955,0))</f>
        <v>2000</v>
      </c>
      <c r="G476" s="363">
        <f>HLOOKUP("start",ESLData!H$1:H$9955,MATCH($A476,ESLData!$B$1:$B$9955,0))</f>
        <v>2068.8200000000002</v>
      </c>
      <c r="J476" s="382" t="s">
        <v>1304</v>
      </c>
      <c r="K476" s="368" t="str">
        <f>IF(ISNA(HLOOKUP("start",ESLData!C$1:C$9955,MATCH($A476,ESLData!$B$1:$B$9955,0))),"",HLOOKUP("start",ESLData!C$1:C$9955,MATCH($A476,ESLData!$B$1:$B$9955,0)))</f>
        <v>Printing/Stationery</v>
      </c>
    </row>
    <row r="477" spans="1:11" s="368" customFormat="1" ht="14.25" customHeight="1" x14ac:dyDescent="0.2">
      <c r="A477" s="364">
        <v>39009</v>
      </c>
      <c r="C477" s="363">
        <f>HLOOKUP("start",ESLData!E$1:E$9955,MATCH($A477,ESLData!$B$1:$B$9955,0))</f>
        <v>3242.92</v>
      </c>
      <c r="E477" s="363">
        <f>HLOOKUP("start",ESLData!F$1:F$9955,MATCH($A477,ESLData!$B$1:$B$9955,0))</f>
        <v>2800</v>
      </c>
      <c r="G477" s="363">
        <f>HLOOKUP("start",ESLData!H$1:H$9955,MATCH($A477,ESLData!$B$1:$B$9955,0))</f>
        <v>2820.45</v>
      </c>
      <c r="J477" s="382" t="s">
        <v>1304</v>
      </c>
      <c r="K477" s="368" t="str">
        <f>IF(ISNA(HLOOKUP("start",ESLData!C$1:C$9955,MATCH($A477,ESLData!$B$1:$B$9955,0))),"",HLOOKUP("start",ESLData!C$1:C$9955,MATCH($A477,ESLData!$B$1:$B$9955,0)))</f>
        <v>Consumables</v>
      </c>
    </row>
    <row r="478" spans="1:11" s="368" customFormat="1" ht="14.25" customHeight="1" x14ac:dyDescent="0.2">
      <c r="A478" s="364">
        <v>39032</v>
      </c>
      <c r="C478" s="363">
        <f>HLOOKUP("start",ESLData!E$1:E$9955,MATCH($A478,ESLData!$B$1:$B$9955,0))</f>
        <v>3998.28</v>
      </c>
      <c r="E478" s="363">
        <f>HLOOKUP("start",ESLData!F$1:F$9955,MATCH($A478,ESLData!$B$1:$B$9955,0))</f>
        <v>2500</v>
      </c>
      <c r="G478" s="363">
        <f>HLOOKUP("start",ESLData!H$1:H$9955,MATCH($A478,ESLData!$B$1:$B$9955,0))</f>
        <v>3677.22</v>
      </c>
      <c r="J478" s="382" t="s">
        <v>1304</v>
      </c>
      <c r="K478" s="368" t="str">
        <f>IF(ISNA(HLOOKUP("start",ESLData!C$1:C$9955,MATCH($A478,ESLData!$B$1:$B$9955,0))),"",HLOOKUP("start",ESLData!C$1:C$9955,MATCH($A478,ESLData!$B$1:$B$9955,0)))</f>
        <v>Staff Travel &amp; Accommodation</v>
      </c>
    </row>
    <row r="479" spans="1:11" s="368" customFormat="1" ht="14.25" customHeight="1" x14ac:dyDescent="0.2">
      <c r="A479" s="364">
        <v>39034</v>
      </c>
      <c r="C479" s="363">
        <f>HLOOKUP("start",ESLData!E$1:E$9955,MATCH($A479,ESLData!$B$1:$B$9955,0))</f>
        <v>10117.299999999999</v>
      </c>
      <c r="E479" s="363">
        <f>HLOOKUP("start",ESLData!F$1:F$9955,MATCH($A479,ESLData!$B$1:$B$9955,0))</f>
        <v>13000</v>
      </c>
      <c r="G479" s="363">
        <f>HLOOKUP("start",ESLData!H$1:H$9955,MATCH($A479,ESLData!$B$1:$B$9955,0))</f>
        <v>12300.13</v>
      </c>
      <c r="J479" s="382" t="s">
        <v>1304</v>
      </c>
      <c r="K479" s="368" t="str">
        <f>IF(ISNA(HLOOKUP("start",ESLData!C$1:C$9955,MATCH($A479,ESLData!$B$1:$B$9955,0))),"",HLOOKUP("start",ESLData!C$1:C$9955,MATCH($A479,ESLData!$B$1:$B$9955,0)))</f>
        <v>Petrol</v>
      </c>
    </row>
    <row r="480" spans="1:11" s="368" customFormat="1" ht="14.25" customHeight="1" x14ac:dyDescent="0.2">
      <c r="A480" s="364">
        <v>39052</v>
      </c>
      <c r="C480" s="363">
        <f>HLOOKUP("start",ESLData!E$1:E$9955,MATCH($A480,ESLData!$B$1:$B$9955,0))</f>
        <v>9227.7199999999993</v>
      </c>
      <c r="E480" s="363">
        <f>HLOOKUP("start",ESLData!F$1:F$9955,MATCH($A480,ESLData!$B$1:$B$9955,0))</f>
        <v>10500</v>
      </c>
      <c r="G480" s="363">
        <f>HLOOKUP("start",ESLData!H$1:H$9955,MATCH($A480,ESLData!$B$1:$B$9955,0))</f>
        <v>14132.33</v>
      </c>
      <c r="J480" s="382" t="s">
        <v>1304</v>
      </c>
      <c r="K480" s="368" t="str">
        <f>IF(ISNA(HLOOKUP("start",ESLData!C$1:C$9955,MATCH($A480,ESLData!$B$1:$B$9955,0))),"",HLOOKUP("start",ESLData!C$1:C$9955,MATCH($A480,ESLData!$B$1:$B$9955,0)))</f>
        <v>Telephone Rental/Tolls/Faxes</v>
      </c>
    </row>
    <row r="481" spans="1:11" s="368" customFormat="1" ht="14.25" customHeight="1" x14ac:dyDescent="0.2">
      <c r="A481" s="364">
        <v>39057</v>
      </c>
      <c r="C481" s="363">
        <f>HLOOKUP("start",ESLData!E$1:E$9955,MATCH($A481,ESLData!$B$1:$B$9955,0))</f>
        <v>2601.06</v>
      </c>
      <c r="E481" s="363">
        <f>HLOOKUP("start",ESLData!F$1:F$9955,MATCH($A481,ESLData!$B$1:$B$9955,0))</f>
        <v>2800</v>
      </c>
      <c r="G481" s="363">
        <f>HLOOKUP("start",ESLData!H$1:H$9955,MATCH($A481,ESLData!$B$1:$B$9955,0))</f>
        <v>2260.33</v>
      </c>
      <c r="J481" s="382" t="s">
        <v>1304</v>
      </c>
      <c r="K481" s="368" t="str">
        <f>IF(ISNA(HLOOKUP("start",ESLData!C$1:C$9955,MATCH($A481,ESLData!$B$1:$B$9955,0))),"",HLOOKUP("start",ESLData!C$1:C$9955,MATCH($A481,ESLData!$B$1:$B$9955,0)))</f>
        <v>Photocopying</v>
      </c>
    </row>
    <row r="482" spans="1:11" s="368" customFormat="1" ht="14.25" customHeight="1" x14ac:dyDescent="0.2">
      <c r="A482" s="364">
        <v>39058</v>
      </c>
      <c r="C482" s="363">
        <f>HLOOKUP("start",ESLData!E$1:E$9955,MATCH($A482,ESLData!$B$1:$B$9955,0))</f>
        <v>2724.11</v>
      </c>
      <c r="E482" s="363">
        <f>HLOOKUP("start",ESLData!F$1:F$9955,MATCH($A482,ESLData!$B$1:$B$9955,0))</f>
        <v>3000</v>
      </c>
      <c r="G482" s="363">
        <f>HLOOKUP("start",ESLData!H$1:H$9955,MATCH($A482,ESLData!$B$1:$B$9955,0))</f>
        <v>2935.48</v>
      </c>
      <c r="J482" s="382" t="s">
        <v>1304</v>
      </c>
      <c r="K482" s="368" t="str">
        <f>IF(ISNA(HLOOKUP("start",ESLData!C$1:C$9955,MATCH($A482,ESLData!$B$1:$B$9955,0))),"",HLOOKUP("start",ESLData!C$1:C$9955,MATCH($A482,ESLData!$B$1:$B$9955,0)))</f>
        <v>Printing/Stationery</v>
      </c>
    </row>
    <row r="483" spans="1:11" s="368" customFormat="1" ht="14.25" customHeight="1" x14ac:dyDescent="0.2">
      <c r="A483" s="364">
        <v>39059</v>
      </c>
      <c r="C483" s="363">
        <f>HLOOKUP("start",ESLData!E$1:E$9955,MATCH($A483,ESLData!$B$1:$B$9955,0))</f>
        <v>2954.38</v>
      </c>
      <c r="E483" s="363">
        <f>HLOOKUP("start",ESLData!F$1:F$9955,MATCH($A483,ESLData!$B$1:$B$9955,0))</f>
        <v>3000</v>
      </c>
      <c r="G483" s="363">
        <f>HLOOKUP("start",ESLData!H$1:H$9955,MATCH($A483,ESLData!$B$1:$B$9955,0))</f>
        <v>3997.3</v>
      </c>
      <c r="J483" s="382" t="s">
        <v>1304</v>
      </c>
      <c r="K483" s="368" t="str">
        <f>IF(ISNA(HLOOKUP("start",ESLData!C$1:C$9955,MATCH($A483,ESLData!$B$1:$B$9955,0))),"",HLOOKUP("start",ESLData!C$1:C$9955,MATCH($A483,ESLData!$B$1:$B$9955,0)))</f>
        <v>Consumables</v>
      </c>
    </row>
    <row r="484" spans="1:11" s="368" customFormat="1" ht="14.25" customHeight="1" x14ac:dyDescent="0.2">
      <c r="A484" s="364">
        <v>39062</v>
      </c>
      <c r="C484" s="363">
        <f>HLOOKUP("start",ESLData!E$1:E$9955,MATCH($A484,ESLData!$B$1:$B$9955,0))</f>
        <v>471.31</v>
      </c>
      <c r="E484" s="363">
        <f>HLOOKUP("start",ESLData!F$1:F$9955,MATCH($A484,ESLData!$B$1:$B$9955,0))</f>
        <v>750</v>
      </c>
      <c r="G484" s="363">
        <f>HLOOKUP("start",ESLData!H$1:H$9955,MATCH($A484,ESLData!$B$1:$B$9955,0))</f>
        <v>717.04</v>
      </c>
      <c r="J484" s="382" t="s">
        <v>1304</v>
      </c>
      <c r="K484" s="368" t="str">
        <f>IF(ISNA(HLOOKUP("start",ESLData!C$1:C$9955,MATCH($A484,ESLData!$B$1:$B$9955,0))),"",HLOOKUP("start",ESLData!C$1:C$9955,MATCH($A484,ESLData!$B$1:$B$9955,0)))</f>
        <v>Timaru operations</v>
      </c>
    </row>
    <row r="485" spans="1:11" s="368" customFormat="1" ht="14.25" customHeight="1" x14ac:dyDescent="0.2">
      <c r="A485" s="364">
        <v>39063</v>
      </c>
      <c r="C485" s="363">
        <f>HLOOKUP("start",ESLData!E$1:E$9955,MATCH($A485,ESLData!$B$1:$B$9955,0))</f>
        <v>1863.62</v>
      </c>
      <c r="E485" s="363">
        <f>HLOOKUP("start",ESLData!F$1:F$9955,MATCH($A485,ESLData!$B$1:$B$9955,0))</f>
        <v>500</v>
      </c>
      <c r="G485" s="363">
        <f>HLOOKUP("start",ESLData!H$1:H$9955,MATCH($A485,ESLData!$B$1:$B$9955,0))</f>
        <v>395.89</v>
      </c>
      <c r="J485" s="382" t="s">
        <v>1304</v>
      </c>
      <c r="K485" s="368" t="str">
        <f>IF(ISNA(HLOOKUP("start",ESLData!C$1:C$9955,MATCH($A485,ESLData!$B$1:$B$9955,0))),"",HLOOKUP("start",ESLData!C$1:C$9955,MATCH($A485,ESLData!$B$1:$B$9955,0)))</f>
        <v>West Coast Operations</v>
      </c>
    </row>
    <row r="486" spans="1:11" s="368" customFormat="1" ht="14.25" customHeight="1" x14ac:dyDescent="0.2">
      <c r="A486" s="364">
        <v>39082</v>
      </c>
      <c r="C486" s="363">
        <f>HLOOKUP("start",ESLData!E$1:E$9955,MATCH($A486,ESLData!$B$1:$B$9955,0))</f>
        <v>7311.62</v>
      </c>
      <c r="E486" s="363">
        <f>HLOOKUP("start",ESLData!F$1:F$9955,MATCH($A486,ESLData!$B$1:$B$9955,0))</f>
        <v>12000</v>
      </c>
      <c r="G486" s="363">
        <f>HLOOKUP("start",ESLData!H$1:H$9955,MATCH($A486,ESLData!$B$1:$B$9955,0))</f>
        <v>10991.67</v>
      </c>
      <c r="J486" s="382" t="s">
        <v>1304</v>
      </c>
      <c r="K486" s="368" t="str">
        <f>IF(ISNA(HLOOKUP("start",ESLData!C$1:C$9955,MATCH($A486,ESLData!$B$1:$B$9955,0))),"",HLOOKUP("start",ESLData!C$1:C$9955,MATCH($A486,ESLData!$B$1:$B$9955,0)))</f>
        <v>Staff Travel &amp; Accommodation</v>
      </c>
    </row>
    <row r="487" spans="1:11" s="368" customFormat="1" ht="14.25" customHeight="1" x14ac:dyDescent="0.2">
      <c r="A487" s="364">
        <v>39084</v>
      </c>
      <c r="C487" s="363">
        <f>HLOOKUP("start",ESLData!E$1:E$9955,MATCH($A487,ESLData!$B$1:$B$9955,0))</f>
        <v>10896.59</v>
      </c>
      <c r="E487" s="363">
        <f>HLOOKUP("start",ESLData!F$1:F$9955,MATCH($A487,ESLData!$B$1:$B$9955,0))</f>
        <v>12000</v>
      </c>
      <c r="G487" s="363">
        <f>HLOOKUP("start",ESLData!H$1:H$9955,MATCH($A487,ESLData!$B$1:$B$9955,0))</f>
        <v>11803.45</v>
      </c>
      <c r="J487" s="382" t="s">
        <v>1304</v>
      </c>
      <c r="K487" s="368" t="str">
        <f>IF(ISNA(HLOOKUP("start",ESLData!C$1:C$9955,MATCH($A487,ESLData!$B$1:$B$9955,0))),"",HLOOKUP("start",ESLData!C$1:C$9955,MATCH($A487,ESLData!$B$1:$B$9955,0)))</f>
        <v>Petrol</v>
      </c>
    </row>
    <row r="488" spans="1:11" s="368" customFormat="1" ht="14.25" customHeight="1" x14ac:dyDescent="0.2">
      <c r="A488" s="364">
        <v>39102</v>
      </c>
      <c r="C488" s="363">
        <f>HLOOKUP("start",ESLData!E$1:E$9955,MATCH($A488,ESLData!$B$1:$B$9955,0))</f>
        <v>3205.14</v>
      </c>
      <c r="E488" s="363">
        <f>HLOOKUP("start",ESLData!F$1:F$9955,MATCH($A488,ESLData!$B$1:$B$9955,0))</f>
        <v>3800</v>
      </c>
      <c r="G488" s="363">
        <f>HLOOKUP("start",ESLData!H$1:H$9955,MATCH($A488,ESLData!$B$1:$B$9955,0))</f>
        <v>7493.53</v>
      </c>
      <c r="J488" s="382" t="s">
        <v>1304</v>
      </c>
      <c r="K488" s="368" t="str">
        <f>IF(ISNA(HLOOKUP("start",ESLData!C$1:C$9955,MATCH($A488,ESLData!$B$1:$B$9955,0))),"",HLOOKUP("start",ESLData!C$1:C$9955,MATCH($A488,ESLData!$B$1:$B$9955,0)))</f>
        <v>Telephone Rental/Tolls/Faxes</v>
      </c>
    </row>
    <row r="489" spans="1:11" s="368" customFormat="1" ht="14.25" customHeight="1" x14ac:dyDescent="0.2">
      <c r="A489" s="364">
        <v>39104</v>
      </c>
      <c r="C489" s="363">
        <f>HLOOKUP("start",ESLData!E$1:E$9955,MATCH($A489,ESLData!$B$1:$B$9955,0))</f>
        <v>705.7</v>
      </c>
      <c r="E489" s="363">
        <f>HLOOKUP("start",ESLData!F$1:F$9955,MATCH($A489,ESLData!$B$1:$B$9955,0))</f>
        <v>1800</v>
      </c>
      <c r="G489" s="363">
        <f>HLOOKUP("start",ESLData!H$1:H$9955,MATCH($A489,ESLData!$B$1:$B$9955,0))</f>
        <v>1337.14</v>
      </c>
      <c r="J489" s="382" t="s">
        <v>1304</v>
      </c>
      <c r="K489" s="368" t="str">
        <f>IF(ISNA(HLOOKUP("start",ESLData!C$1:C$9955,MATCH($A489,ESLData!$B$1:$B$9955,0))),"",HLOOKUP("start",ESLData!C$1:C$9955,MATCH($A489,ESLData!$B$1:$B$9955,0)))</f>
        <v>Vehicle Maintenance</v>
      </c>
    </row>
    <row r="490" spans="1:11" s="368" customFormat="1" ht="14.25" customHeight="1" x14ac:dyDescent="0.2">
      <c r="A490" s="364">
        <v>39107</v>
      </c>
      <c r="C490" s="363">
        <f>HLOOKUP("start",ESLData!E$1:E$9955,MATCH($A490,ESLData!$B$1:$B$9955,0))</f>
        <v>846.22</v>
      </c>
      <c r="E490" s="363">
        <f>HLOOKUP("start",ESLData!F$1:F$9955,MATCH($A490,ESLData!$B$1:$B$9955,0))</f>
        <v>1200</v>
      </c>
      <c r="G490" s="363">
        <f>HLOOKUP("start",ESLData!H$1:H$9955,MATCH($A490,ESLData!$B$1:$B$9955,0))</f>
        <v>1155.44</v>
      </c>
      <c r="J490" s="382" t="s">
        <v>1304</v>
      </c>
      <c r="K490" s="368" t="str">
        <f>IF(ISNA(HLOOKUP("start",ESLData!C$1:C$9955,MATCH($A490,ESLData!$B$1:$B$9955,0))),"",HLOOKUP("start",ESLData!C$1:C$9955,MATCH($A490,ESLData!$B$1:$B$9955,0)))</f>
        <v>Photocopying</v>
      </c>
    </row>
    <row r="491" spans="1:11" s="368" customFormat="1" ht="14.25" customHeight="1" x14ac:dyDescent="0.2">
      <c r="A491" s="364">
        <v>39108</v>
      </c>
      <c r="C491" s="363">
        <f>HLOOKUP("start",ESLData!E$1:E$9955,MATCH($A491,ESLData!$B$1:$B$9955,0))</f>
        <v>924.8</v>
      </c>
      <c r="E491" s="363">
        <f>HLOOKUP("start",ESLData!F$1:F$9955,MATCH($A491,ESLData!$B$1:$B$9955,0))</f>
        <v>1000</v>
      </c>
      <c r="G491" s="363">
        <f>HLOOKUP("start",ESLData!H$1:H$9955,MATCH($A491,ESLData!$B$1:$B$9955,0))</f>
        <v>1217.0999999999999</v>
      </c>
      <c r="J491" s="382" t="s">
        <v>1304</v>
      </c>
      <c r="K491" s="368" t="str">
        <f>IF(ISNA(HLOOKUP("start",ESLData!C$1:C$9955,MATCH($A491,ESLData!$B$1:$B$9955,0))),"",HLOOKUP("start",ESLData!C$1:C$9955,MATCH($A491,ESLData!$B$1:$B$9955,0)))</f>
        <v>Printing/Stationery</v>
      </c>
    </row>
    <row r="492" spans="1:11" s="368" customFormat="1" ht="14.25" customHeight="1" x14ac:dyDescent="0.2">
      <c r="A492" s="364">
        <v>39109</v>
      </c>
      <c r="C492" s="363">
        <f>HLOOKUP("start",ESLData!E$1:E$9955,MATCH($A492,ESLData!$B$1:$B$9955,0))</f>
        <v>3779.4</v>
      </c>
      <c r="E492" s="363">
        <f>HLOOKUP("start",ESLData!F$1:F$9955,MATCH($A492,ESLData!$B$1:$B$9955,0))</f>
        <v>4700</v>
      </c>
      <c r="G492" s="363">
        <f>HLOOKUP("start",ESLData!H$1:H$9955,MATCH($A492,ESLData!$B$1:$B$9955,0))</f>
        <v>3219.56</v>
      </c>
      <c r="J492" s="382" t="s">
        <v>1304</v>
      </c>
      <c r="K492" s="368" t="str">
        <f>IF(ISNA(HLOOKUP("start",ESLData!C$1:C$9955,MATCH($A492,ESLData!$B$1:$B$9955,0))),"",HLOOKUP("start",ESLData!C$1:C$9955,MATCH($A492,ESLData!$B$1:$B$9955,0)))</f>
        <v>Consumables</v>
      </c>
    </row>
    <row r="493" spans="1:11" s="368" customFormat="1" ht="14.25" customHeight="1" x14ac:dyDescent="0.2">
      <c r="A493" s="364">
        <v>39132</v>
      </c>
      <c r="C493" s="363">
        <f>HLOOKUP("start",ESLData!E$1:E$9955,MATCH($A493,ESLData!$B$1:$B$9955,0))</f>
        <v>1054.3499999999999</v>
      </c>
      <c r="E493" s="363">
        <f>HLOOKUP("start",ESLData!F$1:F$9955,MATCH($A493,ESLData!$B$1:$B$9955,0))</f>
        <v>800</v>
      </c>
      <c r="G493" s="363">
        <f>HLOOKUP("start",ESLData!H$1:H$9955,MATCH($A493,ESLData!$B$1:$B$9955,0))</f>
        <v>743.33</v>
      </c>
      <c r="J493" s="382" t="s">
        <v>1304</v>
      </c>
      <c r="K493" s="368" t="str">
        <f>IF(ISNA(HLOOKUP("start",ESLData!C$1:C$9955,MATCH($A493,ESLData!$B$1:$B$9955,0))),"",HLOOKUP("start",ESLData!C$1:C$9955,MATCH($A493,ESLData!$B$1:$B$9955,0)))</f>
        <v>Staff Travel &amp; Accommodation</v>
      </c>
    </row>
    <row r="494" spans="1:11" s="368" customFormat="1" ht="14.25" customHeight="1" x14ac:dyDescent="0.2">
      <c r="A494" s="364">
        <v>39134</v>
      </c>
      <c r="C494" s="363">
        <f>HLOOKUP("start",ESLData!E$1:E$9955,MATCH($A494,ESLData!$B$1:$B$9955,0))</f>
        <v>5838.06</v>
      </c>
      <c r="E494" s="363">
        <f>HLOOKUP("start",ESLData!F$1:F$9955,MATCH($A494,ESLData!$B$1:$B$9955,0))</f>
        <v>4500</v>
      </c>
      <c r="G494" s="363">
        <f>HLOOKUP("start",ESLData!H$1:H$9955,MATCH($A494,ESLData!$B$1:$B$9955,0))</f>
        <v>4506.42</v>
      </c>
      <c r="J494" s="382" t="s">
        <v>1304</v>
      </c>
      <c r="K494" s="368" t="str">
        <f>IF(ISNA(HLOOKUP("start",ESLData!C$1:C$9955,MATCH($A494,ESLData!$B$1:$B$9955,0))),"",HLOOKUP("start",ESLData!C$1:C$9955,MATCH($A494,ESLData!$B$1:$B$9955,0)))</f>
        <v>Petrol</v>
      </c>
    </row>
    <row r="495" spans="1:11" s="368" customFormat="1" ht="14.25" customHeight="1" x14ac:dyDescent="0.2">
      <c r="A495" s="364">
        <v>39151</v>
      </c>
      <c r="C495" s="363">
        <f>HLOOKUP("start",ESLData!E$1:E$9955,MATCH($A495,ESLData!$B$1:$B$9955,0))</f>
        <v>755.13</v>
      </c>
      <c r="E495" s="363">
        <f>HLOOKUP("start",ESLData!F$1:F$9955,MATCH($A495,ESLData!$B$1:$B$9955,0))</f>
        <v>800</v>
      </c>
      <c r="G495" s="363">
        <f>HLOOKUP("start",ESLData!H$1:H$9955,MATCH($A495,ESLData!$B$1:$B$9955,0))</f>
        <v>571.79</v>
      </c>
      <c r="J495" s="382" t="s">
        <v>1304</v>
      </c>
      <c r="K495" s="368" t="str">
        <f>IF(ISNA(HLOOKUP("start",ESLData!C$1:C$9955,MATCH($A495,ESLData!$B$1:$B$9955,0))),"",HLOOKUP("start",ESLData!C$1:C$9955,MATCH($A495,ESLData!$B$1:$B$9955,0)))</f>
        <v>Postage</v>
      </c>
    </row>
    <row r="496" spans="1:11" s="368" customFormat="1" ht="14.25" customHeight="1" x14ac:dyDescent="0.2">
      <c r="A496" s="364">
        <v>39152</v>
      </c>
      <c r="C496" s="363">
        <f>HLOOKUP("start",ESLData!E$1:E$9955,MATCH($A496,ESLData!$B$1:$B$9955,0))</f>
        <v>6240.18</v>
      </c>
      <c r="E496" s="363">
        <f>HLOOKUP("start",ESLData!F$1:F$9955,MATCH($A496,ESLData!$B$1:$B$9955,0))</f>
        <v>6500</v>
      </c>
      <c r="G496" s="363">
        <f>HLOOKUP("start",ESLData!H$1:H$9955,MATCH($A496,ESLData!$B$1:$B$9955,0))</f>
        <v>10567.91</v>
      </c>
      <c r="J496" s="382" t="s">
        <v>1304</v>
      </c>
      <c r="K496" s="368" t="str">
        <f>IF(ISNA(HLOOKUP("start",ESLData!C$1:C$9955,MATCH($A496,ESLData!$B$1:$B$9955,0))),"",HLOOKUP("start",ESLData!C$1:C$9955,MATCH($A496,ESLData!$B$1:$B$9955,0)))</f>
        <v>Telephone Rental/Tolls/Faxes</v>
      </c>
    </row>
    <row r="497" spans="1:11" s="368" customFormat="1" ht="14.25" customHeight="1" x14ac:dyDescent="0.2">
      <c r="A497" s="364">
        <v>39157</v>
      </c>
      <c r="C497" s="363">
        <f>HLOOKUP("start",ESLData!E$1:E$9955,MATCH($A497,ESLData!$B$1:$B$9955,0))</f>
        <v>1829.54</v>
      </c>
      <c r="E497" s="363">
        <f>HLOOKUP("start",ESLData!F$1:F$9955,MATCH($A497,ESLData!$B$1:$B$9955,0))</f>
        <v>2000</v>
      </c>
      <c r="G497" s="363">
        <f>HLOOKUP("start",ESLData!H$1:H$9955,MATCH($A497,ESLData!$B$1:$B$9955,0))</f>
        <v>1474.1</v>
      </c>
      <c r="J497" s="382" t="s">
        <v>1304</v>
      </c>
      <c r="K497" s="368" t="str">
        <f>IF(ISNA(HLOOKUP("start",ESLData!C$1:C$9955,MATCH($A497,ESLData!$B$1:$B$9955,0))),"",HLOOKUP("start",ESLData!C$1:C$9955,MATCH($A497,ESLData!$B$1:$B$9955,0)))</f>
        <v>Photocopying</v>
      </c>
    </row>
    <row r="498" spans="1:11" s="368" customFormat="1" ht="14.25" customHeight="1" x14ac:dyDescent="0.2">
      <c r="A498" s="364">
        <v>39158</v>
      </c>
      <c r="C498" s="363">
        <f>HLOOKUP("start",ESLData!E$1:E$9955,MATCH($A498,ESLData!$B$1:$B$9955,0))</f>
        <v>1171.3599999999999</v>
      </c>
      <c r="E498" s="363">
        <f>HLOOKUP("start",ESLData!F$1:F$9955,MATCH($A498,ESLData!$B$1:$B$9955,0))</f>
        <v>800</v>
      </c>
      <c r="G498" s="363">
        <f>HLOOKUP("start",ESLData!H$1:H$9955,MATCH($A498,ESLData!$B$1:$B$9955,0))</f>
        <v>463.95</v>
      </c>
      <c r="J498" s="382" t="s">
        <v>1304</v>
      </c>
      <c r="K498" s="368" t="str">
        <f>IF(ISNA(HLOOKUP("start",ESLData!C$1:C$9955,MATCH($A498,ESLData!$B$1:$B$9955,0))),"",HLOOKUP("start",ESLData!C$1:C$9955,MATCH($A498,ESLData!$B$1:$B$9955,0)))</f>
        <v>Printing/Stationery</v>
      </c>
    </row>
    <row r="499" spans="1:11" s="368" customFormat="1" ht="14.25" customHeight="1" x14ac:dyDescent="0.2">
      <c r="A499" s="364">
        <v>39159</v>
      </c>
      <c r="C499" s="363">
        <f>HLOOKUP("start",ESLData!E$1:E$9955,MATCH($A499,ESLData!$B$1:$B$9955,0))</f>
        <v>1770.03</v>
      </c>
      <c r="E499" s="363">
        <f>HLOOKUP("start",ESLData!F$1:F$9955,MATCH($A499,ESLData!$B$1:$B$9955,0))</f>
        <v>2500</v>
      </c>
      <c r="G499" s="363">
        <f>HLOOKUP("start",ESLData!H$1:H$9955,MATCH($A499,ESLData!$B$1:$B$9955,0))</f>
        <v>3216.13</v>
      </c>
      <c r="J499" s="382" t="s">
        <v>1304</v>
      </c>
      <c r="K499" s="368" t="str">
        <f>IF(ISNA(HLOOKUP("start",ESLData!C$1:C$9955,MATCH($A499,ESLData!$B$1:$B$9955,0))),"",HLOOKUP("start",ESLData!C$1:C$9955,MATCH($A499,ESLData!$B$1:$B$9955,0)))</f>
        <v>Consumables</v>
      </c>
    </row>
    <row r="500" spans="1:11" s="368" customFormat="1" ht="14.25" customHeight="1" x14ac:dyDescent="0.2">
      <c r="A500" s="364">
        <v>39182</v>
      </c>
      <c r="C500" s="363">
        <f>HLOOKUP("start",ESLData!E$1:E$9955,MATCH($A500,ESLData!$B$1:$B$9955,0))</f>
        <v>10441.42</v>
      </c>
      <c r="E500" s="363">
        <f>HLOOKUP("start",ESLData!F$1:F$9955,MATCH($A500,ESLData!$B$1:$B$9955,0))</f>
        <v>7500</v>
      </c>
      <c r="G500" s="363">
        <f>HLOOKUP("start",ESLData!H$1:H$9955,MATCH($A500,ESLData!$B$1:$B$9955,0))</f>
        <v>8920.14</v>
      </c>
      <c r="J500" s="382" t="s">
        <v>1304</v>
      </c>
      <c r="K500" s="368" t="str">
        <f>IF(ISNA(HLOOKUP("start",ESLData!C$1:C$9955,MATCH($A500,ESLData!$B$1:$B$9955,0))),"",HLOOKUP("start",ESLData!C$1:C$9955,MATCH($A500,ESLData!$B$1:$B$9955,0)))</f>
        <v>Staff Travel &amp; Accommodation</v>
      </c>
    </row>
    <row r="501" spans="1:11" s="368" customFormat="1" ht="14.25" customHeight="1" x14ac:dyDescent="0.2">
      <c r="A501" s="364">
        <v>39184</v>
      </c>
      <c r="C501" s="363">
        <f>HLOOKUP("start",ESLData!E$1:E$9955,MATCH($A501,ESLData!$B$1:$B$9955,0))</f>
        <v>10499.83</v>
      </c>
      <c r="E501" s="363">
        <f>HLOOKUP("start",ESLData!F$1:F$9955,MATCH($A501,ESLData!$B$1:$B$9955,0))</f>
        <v>9000</v>
      </c>
      <c r="G501" s="363">
        <f>HLOOKUP("start",ESLData!H$1:H$9955,MATCH($A501,ESLData!$B$1:$B$9955,0))</f>
        <v>9342.61</v>
      </c>
      <c r="J501" s="382" t="s">
        <v>1304</v>
      </c>
      <c r="K501" s="368" t="str">
        <f>IF(ISNA(HLOOKUP("start",ESLData!C$1:C$9955,MATCH($A501,ESLData!$B$1:$B$9955,0))),"",HLOOKUP("start",ESLData!C$1:C$9955,MATCH($A501,ESLData!$B$1:$B$9955,0)))</f>
        <v>Petrol</v>
      </c>
    </row>
    <row r="502" spans="1:11" s="368" customFormat="1" ht="14.25" customHeight="1" x14ac:dyDescent="0.2">
      <c r="A502" s="364">
        <v>39202</v>
      </c>
      <c r="C502" s="363">
        <f>HLOOKUP("start",ESLData!E$1:E$9955,MATCH($A502,ESLData!$B$1:$B$9955,0))</f>
        <v>1725.54</v>
      </c>
      <c r="E502" s="363">
        <f>HLOOKUP("start",ESLData!F$1:F$9955,MATCH($A502,ESLData!$B$1:$B$9955,0))</f>
        <v>2000</v>
      </c>
      <c r="G502" s="363">
        <f>HLOOKUP("start",ESLData!H$1:H$9955,MATCH($A502,ESLData!$B$1:$B$9955,0))</f>
        <v>4539.71</v>
      </c>
      <c r="J502" s="382" t="s">
        <v>1304</v>
      </c>
      <c r="K502" s="368" t="str">
        <f>IF(ISNA(HLOOKUP("start",ESLData!C$1:C$9955,MATCH($A502,ESLData!$B$1:$B$9955,0))),"",HLOOKUP("start",ESLData!C$1:C$9955,MATCH($A502,ESLData!$B$1:$B$9955,0)))</f>
        <v>Telephone Rental/Tolls/Faxes</v>
      </c>
    </row>
    <row r="503" spans="1:11" s="368" customFormat="1" ht="14.25" customHeight="1" x14ac:dyDescent="0.2">
      <c r="A503" s="364">
        <v>39203</v>
      </c>
      <c r="C503" s="363">
        <f>HLOOKUP("start",ESLData!E$1:E$9955,MATCH($A503,ESLData!$B$1:$B$9955,0))</f>
        <v>0</v>
      </c>
      <c r="E503" s="363">
        <f>HLOOKUP("start",ESLData!F$1:F$9955,MATCH($A503,ESLData!$B$1:$B$9955,0))</f>
        <v>872</v>
      </c>
      <c r="G503" s="363">
        <f>HLOOKUP("start",ESLData!H$1:H$9955,MATCH($A503,ESLData!$B$1:$B$9955,0))</f>
        <v>275.89</v>
      </c>
      <c r="J503" s="382" t="s">
        <v>1304</v>
      </c>
      <c r="K503" s="368" t="str">
        <f>IF(ISNA(HLOOKUP("start",ESLData!C$1:C$9955,MATCH($A503,ESLData!$B$1:$B$9955,0))),"",HLOOKUP("start",ESLData!C$1:C$9955,MATCH($A503,ESLData!$B$1:$B$9955,0)))</f>
        <v>Vehicle Insurance</v>
      </c>
    </row>
    <row r="504" spans="1:11" s="368" customFormat="1" ht="14.25" customHeight="1" x14ac:dyDescent="0.2">
      <c r="A504" s="364">
        <v>39204</v>
      </c>
      <c r="C504" s="363">
        <f>HLOOKUP("start",ESLData!E$1:E$9955,MATCH($A504,ESLData!$B$1:$B$9955,0))</f>
        <v>0</v>
      </c>
      <c r="E504" s="363">
        <f>HLOOKUP("start",ESLData!F$1:F$9955,MATCH($A504,ESLData!$B$1:$B$9955,0))</f>
        <v>0</v>
      </c>
      <c r="G504" s="363">
        <f>HLOOKUP("start",ESLData!H$1:H$9955,MATCH($A504,ESLData!$B$1:$B$9955,0))</f>
        <v>59.57</v>
      </c>
      <c r="J504" s="382" t="s">
        <v>1304</v>
      </c>
      <c r="K504" s="368" t="str">
        <f>IF(ISNA(HLOOKUP("start",ESLData!C$1:C$9955,MATCH($A504,ESLData!$B$1:$B$9955,0))),"",HLOOKUP("start",ESLData!C$1:C$9955,MATCH($A504,ESLData!$B$1:$B$9955,0)))</f>
        <v>Vehicle Maintenance</v>
      </c>
    </row>
    <row r="505" spans="1:11" s="368" customFormat="1" ht="14.25" customHeight="1" x14ac:dyDescent="0.2">
      <c r="A505" s="364">
        <v>39207</v>
      </c>
      <c r="C505" s="363">
        <f>HLOOKUP("start",ESLData!E$1:E$9955,MATCH($A505,ESLData!$B$1:$B$9955,0))</f>
        <v>577.25</v>
      </c>
      <c r="E505" s="363">
        <f>HLOOKUP("start",ESLData!F$1:F$9955,MATCH($A505,ESLData!$B$1:$B$9955,0))</f>
        <v>1200</v>
      </c>
      <c r="G505" s="363">
        <f>HLOOKUP("start",ESLData!H$1:H$9955,MATCH($A505,ESLData!$B$1:$B$9955,0))</f>
        <v>367.71</v>
      </c>
      <c r="J505" s="382" t="s">
        <v>1304</v>
      </c>
      <c r="K505" s="368" t="str">
        <f>IF(ISNA(HLOOKUP("start",ESLData!C$1:C$9955,MATCH($A505,ESLData!$B$1:$B$9955,0))),"",HLOOKUP("start",ESLData!C$1:C$9955,MATCH($A505,ESLData!$B$1:$B$9955,0)))</f>
        <v>Photocopying</v>
      </c>
    </row>
    <row r="506" spans="1:11" s="368" customFormat="1" ht="14.25" customHeight="1" x14ac:dyDescent="0.2">
      <c r="A506" s="364">
        <v>39208</v>
      </c>
      <c r="C506" s="363">
        <f>HLOOKUP("start",ESLData!E$1:E$9955,MATCH($A506,ESLData!$B$1:$B$9955,0))</f>
        <v>769.34</v>
      </c>
      <c r="E506" s="363">
        <f>HLOOKUP("start",ESLData!F$1:F$9955,MATCH($A506,ESLData!$B$1:$B$9955,0))</f>
        <v>1000</v>
      </c>
      <c r="G506" s="363">
        <f>HLOOKUP("start",ESLData!H$1:H$9955,MATCH($A506,ESLData!$B$1:$B$9955,0))</f>
        <v>1020.77</v>
      </c>
      <c r="J506" s="382" t="s">
        <v>1304</v>
      </c>
      <c r="K506" s="368" t="str">
        <f>IF(ISNA(HLOOKUP("start",ESLData!C$1:C$9955,MATCH($A506,ESLData!$B$1:$B$9955,0))),"",HLOOKUP("start",ESLData!C$1:C$9955,MATCH($A506,ESLData!$B$1:$B$9955,0)))</f>
        <v>Printing/Stationery</v>
      </c>
    </row>
    <row r="507" spans="1:11" s="368" customFormat="1" ht="14.25" customHeight="1" x14ac:dyDescent="0.2">
      <c r="A507" s="364">
        <v>39209</v>
      </c>
      <c r="C507" s="363">
        <f>HLOOKUP("start",ESLData!E$1:E$9955,MATCH($A507,ESLData!$B$1:$B$9955,0))</f>
        <v>1589.94</v>
      </c>
      <c r="E507" s="363">
        <f>HLOOKUP("start",ESLData!F$1:F$9955,MATCH($A507,ESLData!$B$1:$B$9955,0))</f>
        <v>2500</v>
      </c>
      <c r="G507" s="363">
        <f>HLOOKUP("start",ESLData!H$1:H$9955,MATCH($A507,ESLData!$B$1:$B$9955,0))</f>
        <v>3476.78</v>
      </c>
      <c r="J507" s="382" t="s">
        <v>1304</v>
      </c>
      <c r="K507" s="368" t="str">
        <f>IF(ISNA(HLOOKUP("start",ESLData!C$1:C$9955,MATCH($A507,ESLData!$B$1:$B$9955,0))),"",HLOOKUP("start",ESLData!C$1:C$9955,MATCH($A507,ESLData!$B$1:$B$9955,0)))</f>
        <v>Consumables</v>
      </c>
    </row>
    <row r="508" spans="1:11" s="368" customFormat="1" ht="14.25" customHeight="1" x14ac:dyDescent="0.2">
      <c r="A508" s="364">
        <v>39232</v>
      </c>
      <c r="C508" s="363">
        <f>HLOOKUP("start",ESLData!E$1:E$9955,MATCH($A508,ESLData!$B$1:$B$9955,0))</f>
        <v>2010.06</v>
      </c>
      <c r="E508" s="363">
        <f>HLOOKUP("start",ESLData!F$1:F$9955,MATCH($A508,ESLData!$B$1:$B$9955,0))</f>
        <v>1500</v>
      </c>
      <c r="G508" s="363">
        <f>HLOOKUP("start",ESLData!H$1:H$9955,MATCH($A508,ESLData!$B$1:$B$9955,0))</f>
        <v>1863.58</v>
      </c>
      <c r="J508" s="382" t="s">
        <v>1304</v>
      </c>
      <c r="K508" s="368" t="str">
        <f>IF(ISNA(HLOOKUP("start",ESLData!C$1:C$9955,MATCH($A508,ESLData!$B$1:$B$9955,0))),"",HLOOKUP("start",ESLData!C$1:C$9955,MATCH($A508,ESLData!$B$1:$B$9955,0)))</f>
        <v>Staff Travel &amp; Accommodation</v>
      </c>
    </row>
    <row r="509" spans="1:11" s="368" customFormat="1" ht="14.25" customHeight="1" x14ac:dyDescent="0.2">
      <c r="A509" s="364">
        <v>39234</v>
      </c>
      <c r="C509" s="363">
        <f>HLOOKUP("start",ESLData!E$1:E$9955,MATCH($A509,ESLData!$B$1:$B$9955,0))</f>
        <v>5555.4</v>
      </c>
      <c r="E509" s="363">
        <f>HLOOKUP("start",ESLData!F$1:F$9955,MATCH($A509,ESLData!$B$1:$B$9955,0))</f>
        <v>3500</v>
      </c>
      <c r="G509" s="363">
        <f>HLOOKUP("start",ESLData!H$1:H$9955,MATCH($A509,ESLData!$B$1:$B$9955,0))</f>
        <v>3318.88</v>
      </c>
      <c r="J509" s="382" t="s">
        <v>1304</v>
      </c>
      <c r="K509" s="368" t="str">
        <f>IF(ISNA(HLOOKUP("start",ESLData!C$1:C$9955,MATCH($A509,ESLData!$B$1:$B$9955,0))),"",HLOOKUP("start",ESLData!C$1:C$9955,MATCH($A509,ESLData!$B$1:$B$9955,0)))</f>
        <v>Petrol</v>
      </c>
    </row>
    <row r="510" spans="1:11" s="368" customFormat="1" ht="14.25" customHeight="1" x14ac:dyDescent="0.2">
      <c r="A510" s="364">
        <v>39252</v>
      </c>
      <c r="C510" s="363">
        <f>HLOOKUP("start",ESLData!E$1:E$9955,MATCH($A510,ESLData!$B$1:$B$9955,0))</f>
        <v>4041.47</v>
      </c>
      <c r="E510" s="363">
        <f>HLOOKUP("start",ESLData!F$1:F$9955,MATCH($A510,ESLData!$B$1:$B$9955,0))</f>
        <v>4200</v>
      </c>
      <c r="G510" s="363">
        <f>HLOOKUP("start",ESLData!H$1:H$9955,MATCH($A510,ESLData!$B$1:$B$9955,0))</f>
        <v>7821.1</v>
      </c>
      <c r="J510" s="382" t="s">
        <v>1304</v>
      </c>
      <c r="K510" s="368" t="str">
        <f>IF(ISNA(HLOOKUP("start",ESLData!C$1:C$9955,MATCH($A510,ESLData!$B$1:$B$9955,0))),"",HLOOKUP("start",ESLData!C$1:C$9955,MATCH($A510,ESLData!$B$1:$B$9955,0)))</f>
        <v>Telephone Rental/Tolls/Faxes</v>
      </c>
    </row>
    <row r="511" spans="1:11" s="368" customFormat="1" ht="14.25" customHeight="1" x14ac:dyDescent="0.2">
      <c r="A511" s="364">
        <v>39257</v>
      </c>
      <c r="C511" s="363">
        <f>HLOOKUP("start",ESLData!E$1:E$9955,MATCH($A511,ESLData!$B$1:$B$9955,0))</f>
        <v>2113.0100000000002</v>
      </c>
      <c r="E511" s="363">
        <f>HLOOKUP("start",ESLData!F$1:F$9955,MATCH($A511,ESLData!$B$1:$B$9955,0))</f>
        <v>2500</v>
      </c>
      <c r="G511" s="363">
        <f>HLOOKUP("start",ESLData!H$1:H$9955,MATCH($A511,ESLData!$B$1:$B$9955,0))</f>
        <v>1296.83</v>
      </c>
      <c r="J511" s="382" t="s">
        <v>1304</v>
      </c>
      <c r="K511" s="368" t="str">
        <f>IF(ISNA(HLOOKUP("start",ESLData!C$1:C$9955,MATCH($A511,ESLData!$B$1:$B$9955,0))),"",HLOOKUP("start",ESLData!C$1:C$9955,MATCH($A511,ESLData!$B$1:$B$9955,0)))</f>
        <v>Photocopying</v>
      </c>
    </row>
    <row r="512" spans="1:11" s="368" customFormat="1" ht="14.25" customHeight="1" x14ac:dyDescent="0.2">
      <c r="A512" s="364">
        <v>39258</v>
      </c>
      <c r="C512" s="363">
        <f>HLOOKUP("start",ESLData!E$1:E$9955,MATCH($A512,ESLData!$B$1:$B$9955,0))</f>
        <v>2116.94</v>
      </c>
      <c r="E512" s="363">
        <f>HLOOKUP("start",ESLData!F$1:F$9955,MATCH($A512,ESLData!$B$1:$B$9955,0))</f>
        <v>1500</v>
      </c>
      <c r="G512" s="363">
        <f>HLOOKUP("start",ESLData!H$1:H$9955,MATCH($A512,ESLData!$B$1:$B$9955,0))</f>
        <v>1620.9</v>
      </c>
      <c r="J512" s="382" t="s">
        <v>1304</v>
      </c>
      <c r="K512" s="368" t="str">
        <f>IF(ISNA(HLOOKUP("start",ESLData!C$1:C$9955,MATCH($A512,ESLData!$B$1:$B$9955,0))),"",HLOOKUP("start",ESLData!C$1:C$9955,MATCH($A512,ESLData!$B$1:$B$9955,0)))</f>
        <v>Printing/Stationery</v>
      </c>
    </row>
    <row r="513" spans="1:11" s="368" customFormat="1" ht="14.25" customHeight="1" x14ac:dyDescent="0.2">
      <c r="A513" s="364">
        <v>39259</v>
      </c>
      <c r="C513" s="363">
        <f>HLOOKUP("start",ESLData!E$1:E$9955,MATCH($A513,ESLData!$B$1:$B$9955,0))</f>
        <v>6340.37</v>
      </c>
      <c r="E513" s="363">
        <f>HLOOKUP("start",ESLData!F$1:F$9955,MATCH($A513,ESLData!$B$1:$B$9955,0))</f>
        <v>3000</v>
      </c>
      <c r="G513" s="363">
        <f>HLOOKUP("start",ESLData!H$1:H$9955,MATCH($A513,ESLData!$B$1:$B$9955,0))</f>
        <v>4155.6000000000004</v>
      </c>
      <c r="J513" s="382" t="s">
        <v>1304</v>
      </c>
      <c r="K513" s="368" t="str">
        <f>IF(ISNA(HLOOKUP("start",ESLData!C$1:C$9955,MATCH($A513,ESLData!$B$1:$B$9955,0))),"",HLOOKUP("start",ESLData!C$1:C$9955,MATCH($A513,ESLData!$B$1:$B$9955,0)))</f>
        <v>Consumables</v>
      </c>
    </row>
    <row r="514" spans="1:11" s="368" customFormat="1" ht="14.25" customHeight="1" x14ac:dyDescent="0.2">
      <c r="A514" s="364">
        <v>39282</v>
      </c>
      <c r="C514" s="363">
        <f>HLOOKUP("start",ESLData!E$1:E$9955,MATCH($A514,ESLData!$B$1:$B$9955,0))</f>
        <v>3160.59</v>
      </c>
      <c r="E514" s="363">
        <f>HLOOKUP("start",ESLData!F$1:F$9955,MATCH($A514,ESLData!$B$1:$B$9955,0))</f>
        <v>3500</v>
      </c>
      <c r="G514" s="363">
        <f>HLOOKUP("start",ESLData!H$1:H$9955,MATCH($A514,ESLData!$B$1:$B$9955,0))</f>
        <v>3124.58</v>
      </c>
      <c r="J514" s="382" t="s">
        <v>1304</v>
      </c>
      <c r="K514" s="368" t="str">
        <f>IF(ISNA(HLOOKUP("start",ESLData!C$1:C$9955,MATCH($A514,ESLData!$B$1:$B$9955,0))),"",HLOOKUP("start",ESLData!C$1:C$9955,MATCH($A514,ESLData!$B$1:$B$9955,0)))</f>
        <v>Staff Travel &amp; Accommodation</v>
      </c>
    </row>
    <row r="515" spans="1:11" s="368" customFormat="1" ht="14.25" customHeight="1" x14ac:dyDescent="0.2">
      <c r="A515" s="364">
        <v>39284</v>
      </c>
      <c r="C515" s="363">
        <f>HLOOKUP("start",ESLData!E$1:E$9955,MATCH($A515,ESLData!$B$1:$B$9955,0))</f>
        <v>8661.7800000000007</v>
      </c>
      <c r="E515" s="363">
        <f>HLOOKUP("start",ESLData!F$1:F$9955,MATCH($A515,ESLData!$B$1:$B$9955,0))</f>
        <v>7500</v>
      </c>
      <c r="G515" s="363">
        <f>HLOOKUP("start",ESLData!H$1:H$9955,MATCH($A515,ESLData!$B$1:$B$9955,0))</f>
        <v>7589.86</v>
      </c>
      <c r="J515" s="382" t="s">
        <v>1304</v>
      </c>
      <c r="K515" s="368" t="str">
        <f>IF(ISNA(HLOOKUP("start",ESLData!C$1:C$9955,MATCH($A515,ESLData!$B$1:$B$9955,0))),"",HLOOKUP("start",ESLData!C$1:C$9955,MATCH($A515,ESLData!$B$1:$B$9955,0)))</f>
        <v>Petrol</v>
      </c>
    </row>
    <row r="516" spans="1:11" s="368" customFormat="1" ht="14.25" customHeight="1" x14ac:dyDescent="0.2">
      <c r="A516" s="364">
        <v>39302</v>
      </c>
      <c r="C516" s="363">
        <f>HLOOKUP("start",ESLData!E$1:E$9955,MATCH($A516,ESLData!$B$1:$B$9955,0))</f>
        <v>4576.62</v>
      </c>
      <c r="E516" s="363">
        <f>HLOOKUP("start",ESLData!F$1:F$9955,MATCH($A516,ESLData!$B$1:$B$9955,0))</f>
        <v>4500</v>
      </c>
      <c r="G516" s="363">
        <f>HLOOKUP("start",ESLData!H$1:H$9955,MATCH($A516,ESLData!$B$1:$B$9955,0))</f>
        <v>7825.85</v>
      </c>
      <c r="J516" s="382" t="s">
        <v>1304</v>
      </c>
      <c r="K516" s="368" t="str">
        <f>IF(ISNA(HLOOKUP("start",ESLData!C$1:C$9955,MATCH($A516,ESLData!$B$1:$B$9955,0))),"",HLOOKUP("start",ESLData!C$1:C$9955,MATCH($A516,ESLData!$B$1:$B$9955,0)))</f>
        <v>Telephone Rental/Tolls/Faxes</v>
      </c>
    </row>
    <row r="517" spans="1:11" s="368" customFormat="1" ht="14.25" customHeight="1" x14ac:dyDescent="0.2">
      <c r="A517" s="364">
        <v>39307</v>
      </c>
      <c r="C517" s="363">
        <f>HLOOKUP("start",ESLData!E$1:E$9955,MATCH($A517,ESLData!$B$1:$B$9955,0))</f>
        <v>2611.08</v>
      </c>
      <c r="E517" s="363">
        <f>HLOOKUP("start",ESLData!F$1:F$9955,MATCH($A517,ESLData!$B$1:$B$9955,0))</f>
        <v>2500</v>
      </c>
      <c r="G517" s="363">
        <f>HLOOKUP("start",ESLData!H$1:H$9955,MATCH($A517,ESLData!$B$1:$B$9955,0))</f>
        <v>1803.42</v>
      </c>
      <c r="J517" s="382" t="s">
        <v>1304</v>
      </c>
      <c r="K517" s="368" t="str">
        <f>IF(ISNA(HLOOKUP("start",ESLData!C$1:C$9955,MATCH($A517,ESLData!$B$1:$B$9955,0))),"",HLOOKUP("start",ESLData!C$1:C$9955,MATCH($A517,ESLData!$B$1:$B$9955,0)))</f>
        <v>Photocopying</v>
      </c>
    </row>
    <row r="518" spans="1:11" s="368" customFormat="1" ht="14.25" customHeight="1" x14ac:dyDescent="0.2">
      <c r="A518" s="364">
        <v>39308</v>
      </c>
      <c r="C518" s="363">
        <f>HLOOKUP("start",ESLData!E$1:E$9955,MATCH($A518,ESLData!$B$1:$B$9955,0))</f>
        <v>3557.69</v>
      </c>
      <c r="E518" s="363">
        <f>HLOOKUP("start",ESLData!F$1:F$9955,MATCH($A518,ESLData!$B$1:$B$9955,0))</f>
        <v>1500</v>
      </c>
      <c r="G518" s="363">
        <f>HLOOKUP("start",ESLData!H$1:H$9955,MATCH($A518,ESLData!$B$1:$B$9955,0))</f>
        <v>1691.4</v>
      </c>
      <c r="J518" s="382" t="s">
        <v>1304</v>
      </c>
      <c r="K518" s="368" t="str">
        <f>IF(ISNA(HLOOKUP("start",ESLData!C$1:C$9955,MATCH($A518,ESLData!$B$1:$B$9955,0))),"",HLOOKUP("start",ESLData!C$1:C$9955,MATCH($A518,ESLData!$B$1:$B$9955,0)))</f>
        <v>Printing/Stationery</v>
      </c>
    </row>
    <row r="519" spans="1:11" s="368" customFormat="1" ht="14.25" customHeight="1" x14ac:dyDescent="0.2">
      <c r="A519" s="364">
        <v>39309</v>
      </c>
      <c r="C519" s="363">
        <f>HLOOKUP("start",ESLData!E$1:E$9955,MATCH($A519,ESLData!$B$1:$B$9955,0))</f>
        <v>7060.2</v>
      </c>
      <c r="E519" s="363">
        <f>HLOOKUP("start",ESLData!F$1:F$9955,MATCH($A519,ESLData!$B$1:$B$9955,0))</f>
        <v>6000</v>
      </c>
      <c r="G519" s="363">
        <f>HLOOKUP("start",ESLData!H$1:H$9955,MATCH($A519,ESLData!$B$1:$B$9955,0))</f>
        <v>6873.95</v>
      </c>
      <c r="J519" s="382" t="s">
        <v>1304</v>
      </c>
      <c r="K519" s="368" t="str">
        <f>IF(ISNA(HLOOKUP("start",ESLData!C$1:C$9955,MATCH($A519,ESLData!$B$1:$B$9955,0))),"",HLOOKUP("start",ESLData!C$1:C$9955,MATCH($A519,ESLData!$B$1:$B$9955,0)))</f>
        <v>Consumables</v>
      </c>
    </row>
    <row r="520" spans="1:11" s="368" customFormat="1" ht="14.25" customHeight="1" x14ac:dyDescent="0.2">
      <c r="A520" s="364">
        <v>39332</v>
      </c>
      <c r="C520" s="363">
        <f>HLOOKUP("start",ESLData!E$1:E$9955,MATCH($A520,ESLData!$B$1:$B$9955,0))</f>
        <v>3863.38</v>
      </c>
      <c r="E520" s="363">
        <f>HLOOKUP("start",ESLData!F$1:F$9955,MATCH($A520,ESLData!$B$1:$B$9955,0))</f>
        <v>2500</v>
      </c>
      <c r="G520" s="363">
        <f>HLOOKUP("start",ESLData!H$1:H$9955,MATCH($A520,ESLData!$B$1:$B$9955,0))</f>
        <v>1936.41</v>
      </c>
      <c r="J520" s="382" t="s">
        <v>1304</v>
      </c>
      <c r="K520" s="368" t="str">
        <f>IF(ISNA(HLOOKUP("start",ESLData!C$1:C$9955,MATCH($A520,ESLData!$B$1:$B$9955,0))),"",HLOOKUP("start",ESLData!C$1:C$9955,MATCH($A520,ESLData!$B$1:$B$9955,0)))</f>
        <v>Staff Travel &amp; Accommodation</v>
      </c>
    </row>
    <row r="521" spans="1:11" s="368" customFormat="1" ht="14.25" customHeight="1" x14ac:dyDescent="0.2">
      <c r="A521" s="364">
        <v>39333</v>
      </c>
      <c r="C521" s="363">
        <f>HLOOKUP("start",ESLData!E$1:E$9955,MATCH($A521,ESLData!$B$1:$B$9955,0))</f>
        <v>0</v>
      </c>
      <c r="E521" s="363">
        <f>HLOOKUP("start",ESLData!F$1:F$9955,MATCH($A521,ESLData!$B$1:$B$9955,0))</f>
        <v>800</v>
      </c>
      <c r="G521" s="363">
        <f>HLOOKUP("start",ESLData!H$1:H$9955,MATCH($A521,ESLData!$B$1:$B$9955,0))</f>
        <v>478.43</v>
      </c>
      <c r="J521" s="382" t="s">
        <v>1304</v>
      </c>
      <c r="K521" s="368" t="str">
        <f>IF(ISNA(HLOOKUP("start",ESLData!C$1:C$9955,MATCH($A521,ESLData!$B$1:$B$9955,0))),"",HLOOKUP("start",ESLData!C$1:C$9955,MATCH($A521,ESLData!$B$1:$B$9955,0)))</f>
        <v>Road Tolls</v>
      </c>
    </row>
    <row r="522" spans="1:11" s="368" customFormat="1" ht="14.25" customHeight="1" x14ac:dyDescent="0.2">
      <c r="A522" s="364">
        <v>39334</v>
      </c>
      <c r="C522" s="363">
        <f>HLOOKUP("start",ESLData!E$1:E$9955,MATCH($A522,ESLData!$B$1:$B$9955,0))</f>
        <v>12392.37</v>
      </c>
      <c r="E522" s="363">
        <f>HLOOKUP("start",ESLData!F$1:F$9955,MATCH($A522,ESLData!$B$1:$B$9955,0))</f>
        <v>10000</v>
      </c>
      <c r="G522" s="363">
        <f>HLOOKUP("start",ESLData!H$1:H$9955,MATCH($A522,ESLData!$B$1:$B$9955,0))</f>
        <v>9219.15</v>
      </c>
      <c r="J522" s="382" t="s">
        <v>1304</v>
      </c>
      <c r="K522" s="368" t="str">
        <f>IF(ISNA(HLOOKUP("start",ESLData!C$1:C$9955,MATCH($A522,ESLData!$B$1:$B$9955,0))),"",HLOOKUP("start",ESLData!C$1:C$9955,MATCH($A522,ESLData!$B$1:$B$9955,0)))</f>
        <v>Petrol</v>
      </c>
    </row>
    <row r="523" spans="1:11" s="368" customFormat="1" ht="14.25" customHeight="1" x14ac:dyDescent="0.2">
      <c r="A523" s="364">
        <v>39352</v>
      </c>
      <c r="C523" s="363">
        <f>HLOOKUP("start",ESLData!E$1:E$9955,MATCH($A523,ESLData!$B$1:$B$9955,0))</f>
        <v>3009.8</v>
      </c>
      <c r="E523" s="363">
        <f>HLOOKUP("start",ESLData!F$1:F$9955,MATCH($A523,ESLData!$B$1:$B$9955,0))</f>
        <v>3000</v>
      </c>
      <c r="G523" s="363">
        <f>HLOOKUP("start",ESLData!H$1:H$9955,MATCH($A523,ESLData!$B$1:$B$9955,0))</f>
        <v>6910.87</v>
      </c>
      <c r="J523" s="382" t="s">
        <v>1304</v>
      </c>
      <c r="K523" s="368" t="str">
        <f>IF(ISNA(HLOOKUP("start",ESLData!C$1:C$9955,MATCH($A523,ESLData!$B$1:$B$9955,0))),"",HLOOKUP("start",ESLData!C$1:C$9955,MATCH($A523,ESLData!$B$1:$B$9955,0)))</f>
        <v>Telephone Rental/Tolls/Faxes</v>
      </c>
    </row>
    <row r="524" spans="1:11" s="368" customFormat="1" ht="14.25" customHeight="1" x14ac:dyDescent="0.2">
      <c r="A524" s="364">
        <v>39357</v>
      </c>
      <c r="C524" s="363">
        <f>HLOOKUP("start",ESLData!E$1:E$9955,MATCH($A524,ESLData!$B$1:$B$9955,0))</f>
        <v>1067.04</v>
      </c>
      <c r="E524" s="363">
        <f>HLOOKUP("start",ESLData!F$1:F$9955,MATCH($A524,ESLData!$B$1:$B$9955,0))</f>
        <v>1500</v>
      </c>
      <c r="G524" s="363">
        <f>HLOOKUP("start",ESLData!H$1:H$9955,MATCH($A524,ESLData!$B$1:$B$9955,0))</f>
        <v>891.71</v>
      </c>
      <c r="J524" s="382" t="s">
        <v>1304</v>
      </c>
      <c r="K524" s="368" t="str">
        <f>IF(ISNA(HLOOKUP("start",ESLData!C$1:C$9955,MATCH($A524,ESLData!$B$1:$B$9955,0))),"",HLOOKUP("start",ESLData!C$1:C$9955,MATCH($A524,ESLData!$B$1:$B$9955,0)))</f>
        <v>Photocopying</v>
      </c>
    </row>
    <row r="525" spans="1:11" s="368" customFormat="1" ht="14.25" customHeight="1" x14ac:dyDescent="0.2">
      <c r="A525" s="364">
        <v>39358</v>
      </c>
      <c r="C525" s="363">
        <f>HLOOKUP("start",ESLData!E$1:E$9955,MATCH($A525,ESLData!$B$1:$B$9955,0))</f>
        <v>1047.4000000000001</v>
      </c>
      <c r="E525" s="363">
        <f>HLOOKUP("start",ESLData!F$1:F$9955,MATCH($A525,ESLData!$B$1:$B$9955,0))</f>
        <v>1000</v>
      </c>
      <c r="G525" s="363">
        <f>HLOOKUP("start",ESLData!H$1:H$9955,MATCH($A525,ESLData!$B$1:$B$9955,0))</f>
        <v>1148.24</v>
      </c>
      <c r="J525" s="382" t="s">
        <v>1304</v>
      </c>
      <c r="K525" s="368" t="str">
        <f>IF(ISNA(HLOOKUP("start",ESLData!C$1:C$9955,MATCH($A525,ESLData!$B$1:$B$9955,0))),"",HLOOKUP("start",ESLData!C$1:C$9955,MATCH($A525,ESLData!$B$1:$B$9955,0)))</f>
        <v>Printing/Stationery</v>
      </c>
    </row>
    <row r="526" spans="1:11" s="368" customFormat="1" ht="14.25" customHeight="1" x14ac:dyDescent="0.2">
      <c r="A526" s="364">
        <v>39359</v>
      </c>
      <c r="C526" s="363">
        <f>HLOOKUP("start",ESLData!E$1:E$9955,MATCH($A526,ESLData!$B$1:$B$9955,0))</f>
        <v>3498.16</v>
      </c>
      <c r="E526" s="363">
        <f>HLOOKUP("start",ESLData!F$1:F$9955,MATCH($A526,ESLData!$B$1:$B$9955,0))</f>
        <v>3200</v>
      </c>
      <c r="G526" s="363">
        <f>HLOOKUP("start",ESLData!H$1:H$9955,MATCH($A526,ESLData!$B$1:$B$9955,0))</f>
        <v>2811.17</v>
      </c>
      <c r="J526" s="382" t="s">
        <v>1304</v>
      </c>
      <c r="K526" s="368" t="str">
        <f>IF(ISNA(HLOOKUP("start",ESLData!C$1:C$9955,MATCH($A526,ESLData!$B$1:$B$9955,0))),"",HLOOKUP("start",ESLData!C$1:C$9955,MATCH($A526,ESLData!$B$1:$B$9955,0)))</f>
        <v>Consumables</v>
      </c>
    </row>
    <row r="527" spans="1:11" s="368" customFormat="1" ht="14.25" customHeight="1" x14ac:dyDescent="0.2">
      <c r="A527" s="364">
        <v>39382</v>
      </c>
      <c r="C527" s="363">
        <f>HLOOKUP("start",ESLData!E$1:E$9955,MATCH($A527,ESLData!$B$1:$B$9955,0))</f>
        <v>1208.55</v>
      </c>
      <c r="E527" s="363">
        <f>HLOOKUP("start",ESLData!F$1:F$9955,MATCH($A527,ESLData!$B$1:$B$9955,0))</f>
        <v>1300</v>
      </c>
      <c r="G527" s="363">
        <f>HLOOKUP("start",ESLData!H$1:H$9955,MATCH($A527,ESLData!$B$1:$B$9955,0))</f>
        <v>1189.17</v>
      </c>
      <c r="J527" s="382" t="s">
        <v>1304</v>
      </c>
      <c r="K527" s="368" t="str">
        <f>IF(ISNA(HLOOKUP("start",ESLData!C$1:C$9955,MATCH($A527,ESLData!$B$1:$B$9955,0))),"",HLOOKUP("start",ESLData!C$1:C$9955,MATCH($A527,ESLData!$B$1:$B$9955,0)))</f>
        <v>Staff Travel &amp; Accommodation</v>
      </c>
    </row>
    <row r="528" spans="1:11" s="368" customFormat="1" ht="14.25" customHeight="1" x14ac:dyDescent="0.2">
      <c r="A528" s="364">
        <v>39384</v>
      </c>
      <c r="C528" s="363">
        <f>HLOOKUP("start",ESLData!E$1:E$9955,MATCH($A528,ESLData!$B$1:$B$9955,0))</f>
        <v>2253.15</v>
      </c>
      <c r="E528" s="363">
        <f>HLOOKUP("start",ESLData!F$1:F$9955,MATCH($A528,ESLData!$B$1:$B$9955,0))</f>
        <v>2800</v>
      </c>
      <c r="G528" s="363">
        <f>HLOOKUP("start",ESLData!H$1:H$9955,MATCH($A528,ESLData!$B$1:$B$9955,0))</f>
        <v>2096.31</v>
      </c>
      <c r="J528" s="382" t="s">
        <v>1304</v>
      </c>
      <c r="K528" s="368" t="str">
        <f>IF(ISNA(HLOOKUP("start",ESLData!C$1:C$9955,MATCH($A528,ESLData!$B$1:$B$9955,0))),"",HLOOKUP("start",ESLData!C$1:C$9955,MATCH($A528,ESLData!$B$1:$B$9955,0)))</f>
        <v>Petrol</v>
      </c>
    </row>
    <row r="529" spans="1:11" s="368" customFormat="1" ht="14.25" customHeight="1" x14ac:dyDescent="0.2">
      <c r="A529" s="364">
        <v>39405</v>
      </c>
      <c r="C529" s="363">
        <f>HLOOKUP("start",ESLData!E$1:E$9955,MATCH($A529,ESLData!$B$1:$B$9955,0))</f>
        <v>2413.4499999999998</v>
      </c>
      <c r="D529" s="369"/>
      <c r="E529" s="363">
        <f>HLOOKUP("start",ESLData!F$1:F$9955,MATCH($A529,ESLData!$B$1:$B$9955,0))</f>
        <v>2500</v>
      </c>
      <c r="F529" s="369"/>
      <c r="G529" s="363">
        <f>HLOOKUP("start",ESLData!H$1:H$9955,MATCH($A529,ESLData!$B$1:$B$9955,0))</f>
        <v>6314.7</v>
      </c>
      <c r="H529" s="369"/>
      <c r="J529" s="382" t="s">
        <v>1304</v>
      </c>
      <c r="K529" s="368" t="str">
        <f>IF(ISNA(HLOOKUP("start",ESLData!C$1:C$9955,MATCH($A529,ESLData!$B$1:$B$9955,0))),"",HLOOKUP("start",ESLData!C$1:C$9955,MATCH($A529,ESLData!$B$1:$B$9955,0)))</f>
        <v>Telephone Rental/Tolls/Faxes</v>
      </c>
    </row>
    <row r="530" spans="1:11" s="368" customFormat="1" ht="14.25" customHeight="1" x14ac:dyDescent="0.2">
      <c r="A530" s="364">
        <v>39430</v>
      </c>
      <c r="C530" s="363">
        <f>HLOOKUP("start",ESLData!E$1:E$9955,MATCH($A530,ESLData!$B$1:$B$9955,0))</f>
        <v>318.99</v>
      </c>
      <c r="E530" s="363">
        <f>HLOOKUP("start",ESLData!F$1:F$9955,MATCH($A530,ESLData!$B$1:$B$9955,0))</f>
        <v>500</v>
      </c>
      <c r="G530" s="363">
        <f>HLOOKUP("start",ESLData!H$1:H$9955,MATCH($A530,ESLData!$B$1:$B$9955,0))</f>
        <v>330.7</v>
      </c>
      <c r="J530" s="382" t="s">
        <v>1304</v>
      </c>
      <c r="K530" s="368" t="str">
        <f>IF(ISNA(HLOOKUP("start",ESLData!C$1:C$9955,MATCH($A530,ESLData!$B$1:$B$9955,0))),"",HLOOKUP("start",ESLData!C$1:C$9955,MATCH($A530,ESLData!$B$1:$B$9955,0)))</f>
        <v>Printing/Stationery</v>
      </c>
    </row>
    <row r="531" spans="1:11" s="368" customFormat="1" ht="14.25" customHeight="1" x14ac:dyDescent="0.2">
      <c r="A531" s="364">
        <v>39465</v>
      </c>
      <c r="C531" s="363">
        <f>HLOOKUP("start",ESLData!E$1:E$9955,MATCH($A531,ESLData!$B$1:$B$9955,0))</f>
        <v>1363.5</v>
      </c>
      <c r="D531" s="369"/>
      <c r="E531" s="363">
        <f>HLOOKUP("start",ESLData!F$1:F$9955,MATCH($A531,ESLData!$B$1:$B$9955,0))</f>
        <v>1500</v>
      </c>
      <c r="F531" s="369"/>
      <c r="G531" s="363">
        <f>HLOOKUP("start",ESLData!H$1:H$9955,MATCH($A531,ESLData!$B$1:$B$9955,0))</f>
        <v>1107</v>
      </c>
      <c r="H531" s="369"/>
      <c r="J531" s="382" t="s">
        <v>1304</v>
      </c>
      <c r="K531" s="368" t="str">
        <f>IF(ISNA(HLOOKUP("start",ESLData!C$1:C$9955,MATCH($A531,ESLData!$B$1:$B$9955,0))),"",HLOOKUP("start",ESLData!C$1:C$9955,MATCH($A531,ESLData!$B$1:$B$9955,0)))</f>
        <v>Photocopying</v>
      </c>
    </row>
    <row r="532" spans="1:11" s="368" customFormat="1" ht="14.25" customHeight="1" x14ac:dyDescent="0.2">
      <c r="A532" s="364">
        <v>39435</v>
      </c>
      <c r="C532" s="363">
        <f>HLOOKUP("start",ESLData!E$1:E$9955,MATCH($A532,ESLData!$B$1:$B$9955,0))</f>
        <v>830.74</v>
      </c>
      <c r="D532" s="369"/>
      <c r="E532" s="363">
        <f>HLOOKUP("start",ESLData!F$1:F$9955,MATCH($A532,ESLData!$B$1:$B$9955,0))</f>
        <v>1200</v>
      </c>
      <c r="F532" s="369"/>
      <c r="G532" s="363">
        <f>HLOOKUP("start",ESLData!H$1:H$9955,MATCH($A532,ESLData!$B$1:$B$9955,0))</f>
        <v>1189.25</v>
      </c>
      <c r="H532" s="369"/>
      <c r="J532" s="382" t="s">
        <v>1304</v>
      </c>
      <c r="K532" s="368" t="str">
        <f>IF(ISNA(HLOOKUP("start",ESLData!C$1:C$9955,MATCH($A532,ESLData!$B$1:$B$9955,0))),"",HLOOKUP("start",ESLData!C$1:C$9955,MATCH($A532,ESLData!$B$1:$B$9955,0)))</f>
        <v>Consumables</v>
      </c>
    </row>
    <row r="533" spans="1:11" s="368" customFormat="1" ht="14.25" customHeight="1" x14ac:dyDescent="0.2">
      <c r="A533" s="364">
        <v>39510</v>
      </c>
      <c r="C533" s="363">
        <f>HLOOKUP("start",ESLData!E$1:E$9955,MATCH($A533,ESLData!$B$1:$B$9955,0))</f>
        <v>7968.29</v>
      </c>
      <c r="E533" s="363">
        <f>HLOOKUP("start",ESLData!F$1:F$9955,MATCH($A533,ESLData!$B$1:$B$9955,0))</f>
        <v>5000</v>
      </c>
      <c r="G533" s="363">
        <f>HLOOKUP("start",ESLData!H$1:H$9955,MATCH($A533,ESLData!$B$1:$B$9955,0))</f>
        <v>5776.38</v>
      </c>
      <c r="J533" s="382" t="s">
        <v>1304</v>
      </c>
      <c r="K533" s="368" t="str">
        <f>IF(ISNA(HLOOKUP("start",ESLData!C$1:C$9955,MATCH($A533,ESLData!$B$1:$B$9955,0))),"",HLOOKUP("start",ESLData!C$1:C$9955,MATCH($A533,ESLData!$B$1:$B$9955,0)))</f>
        <v>Staff Travel &amp; Accommodation</v>
      </c>
    </row>
    <row r="534" spans="1:11" s="368" customFormat="1" ht="14.25" customHeight="1" x14ac:dyDescent="0.2">
      <c r="A534" s="364">
        <v>39520</v>
      </c>
      <c r="C534" s="363">
        <f>HLOOKUP("start",ESLData!E$1:E$9955,MATCH($A534,ESLData!$B$1:$B$9955,0))</f>
        <v>3035.99</v>
      </c>
      <c r="D534" s="369"/>
      <c r="E534" s="363">
        <f>HLOOKUP("start",ESLData!F$1:F$9955,MATCH($A534,ESLData!$B$1:$B$9955,0))</f>
        <v>3800</v>
      </c>
      <c r="F534" s="369"/>
      <c r="G534" s="363">
        <f>HLOOKUP("start",ESLData!H$1:H$9955,MATCH($A534,ESLData!$B$1:$B$9955,0))</f>
        <v>3774.95</v>
      </c>
      <c r="H534" s="369"/>
      <c r="J534" s="382" t="s">
        <v>1304</v>
      </c>
      <c r="K534" s="368" t="str">
        <f>IF(ISNA(HLOOKUP("start",ESLData!C$1:C$9955,MATCH($A534,ESLData!$B$1:$B$9955,0))),"",HLOOKUP("start",ESLData!C$1:C$9955,MATCH($A534,ESLData!$B$1:$B$9955,0)))</f>
        <v>Petrol</v>
      </c>
    </row>
    <row r="535" spans="1:11" s="368" customFormat="1" ht="14.25" customHeight="1" x14ac:dyDescent="0.2">
      <c r="A535" s="364">
        <v>35810</v>
      </c>
      <c r="C535" s="363">
        <f>HLOOKUP("start",ESLData!E$1:E$9955,MATCH($A535,ESLData!$B$1:$B$9955,0))</f>
        <v>1088.71</v>
      </c>
      <c r="E535" s="363">
        <f>HLOOKUP("start",ESLData!F$1:F$9955,MATCH($A535,ESLData!$B$1:$B$9955,0))</f>
        <v>850</v>
      </c>
      <c r="G535" s="363">
        <f>HLOOKUP("start",ESLData!H$1:H$9955,MATCH($A535,ESLData!$B$1:$B$9955,0))</f>
        <v>425.95</v>
      </c>
      <c r="J535" s="382" t="s">
        <v>1304</v>
      </c>
      <c r="K535" s="368" t="str">
        <f>IF(ISNA(HLOOKUP("start",ESLData!C$1:C$9955,MATCH($A535,ESLData!$B$1:$B$9955,0))),"",HLOOKUP("start",ESLData!C$1:C$9955,MATCH($A535,ESLData!$B$1:$B$9955,0)))</f>
        <v>ITM - Travel Reimbursements</v>
      </c>
    </row>
    <row r="536" spans="1:11" s="368" customFormat="1" ht="14.25" customHeight="1" x14ac:dyDescent="0.2">
      <c r="A536" s="364">
        <v>35840</v>
      </c>
      <c r="C536" s="363">
        <f>HLOOKUP("start",ESLData!E$1:E$9955,MATCH($A536,ESLData!$B$1:$B$9955,0))</f>
        <v>513.94000000000005</v>
      </c>
      <c r="E536" s="363">
        <f>HLOOKUP("start",ESLData!F$1:F$9955,MATCH($A536,ESLData!$B$1:$B$9955,0))</f>
        <v>500</v>
      </c>
      <c r="G536" s="363">
        <f>HLOOKUP("start",ESLData!H$1:H$9955,MATCH($A536,ESLData!$B$1:$B$9955,0))</f>
        <v>158.93</v>
      </c>
      <c r="J536" s="382" t="s">
        <v>1304</v>
      </c>
      <c r="K536" s="368" t="str">
        <f>IF(ISNA(HLOOKUP("start",ESLData!C$1:C$9955,MATCH($A536,ESLData!$B$1:$B$9955,0))),"",HLOOKUP("start",ESLData!C$1:C$9955,MATCH($A536,ESLData!$B$1:$B$9955,0)))</f>
        <v>ITM - Consumables</v>
      </c>
    </row>
    <row r="537" spans="1:11" s="368" customFormat="1" ht="14.25" customHeight="1" x14ac:dyDescent="0.2">
      <c r="A537" s="364">
        <v>35850</v>
      </c>
      <c r="C537" s="363">
        <f>HLOOKUP("start",ESLData!E$1:E$9955,MATCH($A537,ESLData!$B$1:$B$9955,0))</f>
        <v>0</v>
      </c>
      <c r="E537" s="363">
        <f>HLOOKUP("start",ESLData!F$1:F$9955,MATCH($A537,ESLData!$B$1:$B$9955,0))</f>
        <v>0</v>
      </c>
      <c r="G537" s="363">
        <f>HLOOKUP("start",ESLData!H$1:H$9955,MATCH($A537,ESLData!$B$1:$B$9955,0))</f>
        <v>0</v>
      </c>
      <c r="I537" s="380" t="s">
        <v>1302</v>
      </c>
      <c r="K537" s="368" t="str">
        <f>IF(ISNA(HLOOKUP("start",ESLData!C$1:C$9955,MATCH($A537,ESLData!$B$1:$B$9955,0))),"",HLOOKUP("start",ESLData!C$1:C$9955,MATCH($A537,ESLData!$B$1:$B$9955,0)))</f>
        <v>Music School</v>
      </c>
    </row>
    <row r="538" spans="1:11" s="368" customFormat="1" ht="14.25" customHeight="1" x14ac:dyDescent="0.2">
      <c r="A538" s="364">
        <v>35855</v>
      </c>
      <c r="C538" s="363">
        <f>HLOOKUP("start",ESLData!E$1:E$9955,MATCH($A538,ESLData!$B$1:$B$9955,0))</f>
        <v>51</v>
      </c>
      <c r="E538" s="363">
        <f>HLOOKUP("start",ESLData!F$1:F$9955,MATCH($A538,ESLData!$B$1:$B$9955,0))</f>
        <v>150</v>
      </c>
      <c r="G538" s="363">
        <f>HLOOKUP("start",ESLData!H$1:H$9955,MATCH($A538,ESLData!$B$1:$B$9955,0))</f>
        <v>52.65</v>
      </c>
      <c r="J538" s="382" t="s">
        <v>1304</v>
      </c>
      <c r="K538" s="368" t="str">
        <f>IF(ISNA(HLOOKUP("start",ESLData!C$1:C$9955,MATCH($A538,ESLData!$B$1:$B$9955,0))),"",HLOOKUP("start",ESLData!C$1:C$9955,MATCH($A538,ESLData!$B$1:$B$9955,0)))</f>
        <v>Photocopying</v>
      </c>
    </row>
    <row r="539" spans="1:11" s="368" customFormat="1" ht="14.25" customHeight="1" x14ac:dyDescent="0.2">
      <c r="A539" s="364">
        <v>35860</v>
      </c>
      <c r="C539" s="363">
        <f>HLOOKUP("start",ESLData!E$1:E$9955,MATCH($A539,ESLData!$B$1:$B$9955,0))</f>
        <v>5.55</v>
      </c>
      <c r="D539" s="400">
        <f>ROUND(SUM(C275:C539),0)</f>
        <v>1432101</v>
      </c>
      <c r="E539" s="363">
        <f>HLOOKUP("start",ESLData!F$1:F$9955,MATCH($A539,ESLData!$B$1:$B$9955,0))</f>
        <v>50</v>
      </c>
      <c r="F539" s="381">
        <f>ROUND(SUM(E275:E539),0)</f>
        <v>1688087</v>
      </c>
      <c r="G539" s="363">
        <f>HLOOKUP("start",ESLData!H$1:H$9955,MATCH($A539,ESLData!$B$1:$B$9955,0))</f>
        <v>83.53</v>
      </c>
      <c r="H539" s="400">
        <f>ROUND(SUM(G275:G539),0)</f>
        <v>1257403</v>
      </c>
      <c r="J539" s="382" t="s">
        <v>1304</v>
      </c>
      <c r="K539" s="368" t="str">
        <f>IF(ISNA(HLOOKUP("start",ESLData!C$1:C$9955,MATCH($A539,ESLData!$B$1:$B$9955,0))),"",HLOOKUP("start",ESLData!C$1:C$9955,MATCH($A539,ESLData!$B$1:$B$9955,0)))</f>
        <v>Stationery</v>
      </c>
    </row>
    <row r="540" spans="1:11" s="368" customFormat="1" ht="14.25" customHeight="1" x14ac:dyDescent="0.2">
      <c r="A540" s="367" t="s">
        <v>1285</v>
      </c>
      <c r="C540" s="363"/>
      <c r="E540" s="363"/>
      <c r="G540" s="363"/>
      <c r="J540" s="382" t="s">
        <v>1304</v>
      </c>
      <c r="K540" s="368" t="str">
        <f>IF(ISNA(HLOOKUP("start",ESLData!C$1:C$9955,MATCH($A540,ESLData!$B$1:$B$9955,0))),"",HLOOKUP("start",ESLData!C$1:C$9955,MATCH($A540,ESLData!$B$1:$B$9955,0)))</f>
        <v/>
      </c>
    </row>
    <row r="541" spans="1:11" s="368" customFormat="1" ht="14.25" customHeight="1" x14ac:dyDescent="0.2">
      <c r="A541" s="364">
        <v>37250</v>
      </c>
      <c r="C541" s="363">
        <f>HLOOKUP("start",ESLData!E$1:E$9955,MATCH($A541,ESLData!$B$1:$B$9955,0))</f>
        <v>567</v>
      </c>
      <c r="D541" s="369"/>
      <c r="E541" s="363">
        <f>HLOOKUP("start",ESLData!F$1:F$9955,MATCH($A541,ESLData!$B$1:$B$9955,0))</f>
        <v>450</v>
      </c>
      <c r="F541" s="369"/>
      <c r="G541" s="363">
        <f>HLOOKUP("start",ESLData!H$1:H$9955,MATCH($A541,ESLData!$B$1:$B$9955,0))</f>
        <v>0</v>
      </c>
      <c r="J541" s="382" t="s">
        <v>1304</v>
      </c>
      <c r="K541" s="368" t="str">
        <f>IF(ISNA(HLOOKUP("start",ESLData!C$1:C$9955,MATCH($A541,ESLData!$B$1:$B$9955,0))),"",HLOOKUP("start",ESLData!C$1:C$9955,MATCH($A541,ESLData!$B$1:$B$9955,0)))</f>
        <v>Equipment Maintenance</v>
      </c>
    </row>
    <row r="542" spans="1:11" s="368" customFormat="1" ht="14.25" customHeight="1" x14ac:dyDescent="0.2">
      <c r="A542" s="364">
        <v>37530</v>
      </c>
      <c r="C542" s="363">
        <f>HLOOKUP("start",ESLData!E$1:E$9955,MATCH($A542,ESLData!$B$1:$B$9955,0))</f>
        <v>148.38999999999999</v>
      </c>
      <c r="E542" s="363">
        <f>HLOOKUP("start",ESLData!F$1:F$9955,MATCH($A542,ESLData!$B$1:$B$9955,0))</f>
        <v>600</v>
      </c>
      <c r="G542" s="363">
        <f>HLOOKUP("start",ESLData!H$1:H$9955,MATCH($A542,ESLData!$B$1:$B$9955,0))</f>
        <v>513.07000000000005</v>
      </c>
      <c r="J542" s="382" t="s">
        <v>1304</v>
      </c>
      <c r="K542" s="368" t="str">
        <f>IF(ISNA(HLOOKUP("start",ESLData!C$1:C$9955,MATCH($A542,ESLData!$B$1:$B$9955,0))),"",HLOOKUP("start",ESLData!C$1:C$9955,MATCH($A542,ESLData!$B$1:$B$9955,0)))</f>
        <v>Repairs &amp; Maintenance</v>
      </c>
    </row>
    <row r="543" spans="1:11" s="368" customFormat="1" ht="14.25" customHeight="1" x14ac:dyDescent="0.2">
      <c r="A543" s="364">
        <v>35204</v>
      </c>
      <c r="C543" s="363">
        <f>HLOOKUP("start",ESLData!E$1:E$9955,MATCH($A543,ESLData!$B$1:$B$9955,0))</f>
        <v>0</v>
      </c>
      <c r="E543" s="363">
        <f>HLOOKUP("start",ESLData!F$1:F$9955,MATCH($A543,ESLData!$B$1:$B$9955,0))</f>
        <v>5000</v>
      </c>
      <c r="G543" s="363">
        <f>HLOOKUP("start",ESLData!H$1:H$9955,MATCH($A543,ESLData!$B$1:$B$9955,0))</f>
        <v>361.92</v>
      </c>
      <c r="J543" s="382" t="s">
        <v>1304</v>
      </c>
      <c r="K543" s="368" t="str">
        <f>IF(ISNA(HLOOKUP("start",ESLData!C$1:C$9955,MATCH($A543,ESLData!$B$1:$B$9955,0))),"",HLOOKUP("start",ESLData!C$1:C$9955,MATCH($A543,ESLData!$B$1:$B$9955,0)))</f>
        <v>National Equipment Maintenance</v>
      </c>
    </row>
    <row r="544" spans="1:11" s="368" customFormat="1" ht="14.25" customHeight="1" x14ac:dyDescent="0.2">
      <c r="A544" s="364">
        <v>35130</v>
      </c>
      <c r="C544" s="363">
        <f>HLOOKUP("start",ESLData!E$1:E$9955,MATCH($A544,ESLData!$B$1:$B$9955,0))</f>
        <v>455.44</v>
      </c>
      <c r="E544" s="363">
        <f>HLOOKUP("start",ESLData!F$1:F$9955,MATCH($A544,ESLData!$B$1:$B$9955,0))</f>
        <v>750</v>
      </c>
      <c r="G544" s="363">
        <f>HLOOKUP("start",ESLData!H$1:H$9955,MATCH($A544,ESLData!$B$1:$B$9955,0))</f>
        <v>593.1</v>
      </c>
      <c r="J544" s="382" t="s">
        <v>1304</v>
      </c>
      <c r="K544" s="368" t="str">
        <f>IF(ISNA(HLOOKUP("start",ESLData!C$1:C$9955,MATCH($A544,ESLData!$B$1:$B$9955,0))),"",HLOOKUP("start",ESLData!C$1:C$9955,MATCH($A544,ESLData!$B$1:$B$9955,0)))</f>
        <v>Equipment Maintenance</v>
      </c>
    </row>
    <row r="545" spans="1:11" s="368" customFormat="1" ht="14.25" customHeight="1" x14ac:dyDescent="0.2">
      <c r="A545" s="364">
        <v>62200</v>
      </c>
      <c r="C545" s="363">
        <f>HLOOKUP("start",ESLData!E$1:E$9955,MATCH($A545,ESLData!$B$1:$B$9955,0))</f>
        <v>70</v>
      </c>
      <c r="E545" s="363">
        <f>HLOOKUP("start",ESLData!F$1:F$9955,MATCH($A545,ESLData!$B$1:$B$9955,0))</f>
        <v>500</v>
      </c>
      <c r="G545" s="363">
        <f>HLOOKUP("start",ESLData!H$1:H$9955,MATCH($A545,ESLData!$B$1:$B$9955,0))</f>
        <v>130</v>
      </c>
      <c r="J545" s="382" t="s">
        <v>1304</v>
      </c>
      <c r="K545" s="368" t="str">
        <f>IF(ISNA(HLOOKUP("start",ESLData!C$1:C$9955,MATCH($A545,ESLData!$B$1:$B$9955,0))),"",HLOOKUP("start",ESLData!C$1:C$9955,MATCH($A545,ESLData!$B$1:$B$9955,0)))</f>
        <v>Equipment Maintenance</v>
      </c>
    </row>
    <row r="546" spans="1:11" s="368" customFormat="1" ht="14.25" customHeight="1" x14ac:dyDescent="0.2">
      <c r="A546" s="364">
        <v>63200</v>
      </c>
      <c r="C546" s="363">
        <f>HLOOKUP("start",ESLData!E$1:E$9955,MATCH($A546,ESLData!$B$1:$B$9955,0))</f>
        <v>253.26</v>
      </c>
      <c r="E546" s="363">
        <f>HLOOKUP("start",ESLData!F$1:F$9955,MATCH($A546,ESLData!$B$1:$B$9955,0))</f>
        <v>500</v>
      </c>
      <c r="G546" s="363">
        <f>HLOOKUP("start",ESLData!H$1:H$9955,MATCH($A546,ESLData!$B$1:$B$9955,0))</f>
        <v>0</v>
      </c>
      <c r="J546" s="382" t="s">
        <v>1304</v>
      </c>
      <c r="K546" s="368" t="str">
        <f>IF(ISNA(HLOOKUP("start",ESLData!C$1:C$9955,MATCH($A546,ESLData!$B$1:$B$9955,0))),"",HLOOKUP("start",ESLData!C$1:C$9955,MATCH($A546,ESLData!$B$1:$B$9955,0)))</f>
        <v>Equipment Maintenance</v>
      </c>
    </row>
    <row r="547" spans="1:11" s="368" customFormat="1" ht="14.25" customHeight="1" x14ac:dyDescent="0.2">
      <c r="A547" s="364">
        <v>35325</v>
      </c>
      <c r="C547" s="363">
        <f>HLOOKUP("start",ESLData!E$1:E$9955,MATCH($A547,ESLData!$B$1:$B$9955,0))</f>
        <v>190</v>
      </c>
      <c r="E547" s="363">
        <f>HLOOKUP("start",ESLData!F$1:F$9955,MATCH($A547,ESLData!$B$1:$B$9955,0))</f>
        <v>500</v>
      </c>
      <c r="G547" s="363">
        <f>HLOOKUP("start",ESLData!H$1:H$9955,MATCH($A547,ESLData!$B$1:$B$9955,0))</f>
        <v>110.87</v>
      </c>
      <c r="J547" s="382" t="s">
        <v>1304</v>
      </c>
      <c r="K547" s="368" t="str">
        <f>IF(ISNA(HLOOKUP("start",ESLData!C$1:C$9955,MATCH($A547,ESLData!$B$1:$B$9955,0))),"",HLOOKUP("start",ESLData!C$1:C$9955,MATCH($A547,ESLData!$B$1:$B$9955,0)))</f>
        <v>Equipment Maintenance</v>
      </c>
    </row>
    <row r="548" spans="1:11" s="368" customFormat="1" ht="14.25" customHeight="1" x14ac:dyDescent="0.2">
      <c r="A548" s="364">
        <v>35625</v>
      </c>
      <c r="C548" s="363">
        <f>HLOOKUP("start",ESLData!E$1:E$9955,MATCH($A548,ESLData!$B$1:$B$9955,0))</f>
        <v>177.23</v>
      </c>
      <c r="E548" s="363">
        <f>HLOOKUP("start",ESLData!F$1:F$9955,MATCH($A548,ESLData!$B$1:$B$9955,0))</f>
        <v>400</v>
      </c>
      <c r="G548" s="363">
        <f>HLOOKUP("start",ESLData!H$1:H$9955,MATCH($A548,ESLData!$B$1:$B$9955,0))</f>
        <v>256.83</v>
      </c>
      <c r="J548" s="382" t="s">
        <v>1304</v>
      </c>
      <c r="K548" s="368" t="str">
        <f>IF(ISNA(HLOOKUP("start",ESLData!C$1:C$9955,MATCH($A548,ESLData!$B$1:$B$9955,0))),"",HLOOKUP("start",ESLData!C$1:C$9955,MATCH($A548,ESLData!$B$1:$B$9955,0)))</f>
        <v>Equipment Maintenance</v>
      </c>
    </row>
    <row r="549" spans="1:11" s="368" customFormat="1" ht="14.25" customHeight="1" x14ac:dyDescent="0.2">
      <c r="A549" s="364">
        <v>39006</v>
      </c>
      <c r="C549" s="363">
        <f>HLOOKUP("start",ESLData!E$1:E$9955,MATCH($A549,ESLData!$B$1:$B$9955,0))</f>
        <v>28.26</v>
      </c>
      <c r="E549" s="363">
        <f>HLOOKUP("start",ESLData!F$1:F$9955,MATCH($A549,ESLData!$B$1:$B$9955,0))</f>
        <v>500</v>
      </c>
      <c r="G549" s="363">
        <f>HLOOKUP("start",ESLData!H$1:H$9955,MATCH($A549,ESLData!$B$1:$B$9955,0))</f>
        <v>544.36</v>
      </c>
      <c r="J549" s="382" t="s">
        <v>1304</v>
      </c>
      <c r="K549" s="368" t="str">
        <f>IF(ISNA(HLOOKUP("start",ESLData!C$1:C$9955,MATCH($A549,ESLData!$B$1:$B$9955,0))),"",HLOOKUP("start",ESLData!C$1:C$9955,MATCH($A549,ESLData!$B$1:$B$9955,0)))</f>
        <v>Equipment Maintenance</v>
      </c>
    </row>
    <row r="550" spans="1:11" s="368" customFormat="1" ht="14.25" customHeight="1" x14ac:dyDescent="0.2">
      <c r="A550" s="364">
        <v>39056</v>
      </c>
      <c r="C550" s="363">
        <f>HLOOKUP("start",ESLData!E$1:E$9955,MATCH($A550,ESLData!$B$1:$B$9955,0))</f>
        <v>500.44</v>
      </c>
      <c r="E550" s="363">
        <f>HLOOKUP("start",ESLData!F$1:F$9955,MATCH($A550,ESLData!$B$1:$B$9955,0))</f>
        <v>750</v>
      </c>
      <c r="G550" s="363">
        <f>HLOOKUP("start",ESLData!H$1:H$9955,MATCH($A550,ESLData!$B$1:$B$9955,0))</f>
        <v>157.32</v>
      </c>
      <c r="J550" s="382" t="s">
        <v>1304</v>
      </c>
      <c r="K550" s="368" t="str">
        <f>IF(ISNA(HLOOKUP("start",ESLData!C$1:C$9955,MATCH($A550,ESLData!$B$1:$B$9955,0))),"",HLOOKUP("start",ESLData!C$1:C$9955,MATCH($A550,ESLData!$B$1:$B$9955,0)))</f>
        <v>Equipment Maintenance</v>
      </c>
    </row>
    <row r="551" spans="1:11" s="368" customFormat="1" ht="14.25" customHeight="1" x14ac:dyDescent="0.2">
      <c r="A551" s="364">
        <v>39106</v>
      </c>
      <c r="C551" s="363">
        <f>HLOOKUP("start",ESLData!E$1:E$9955,MATCH($A551,ESLData!$B$1:$B$9955,0))</f>
        <v>251.67</v>
      </c>
      <c r="E551" s="363">
        <f>HLOOKUP("start",ESLData!F$1:F$9955,MATCH($A551,ESLData!$B$1:$B$9955,0))</f>
        <v>500</v>
      </c>
      <c r="G551" s="363">
        <f>HLOOKUP("start",ESLData!H$1:H$9955,MATCH($A551,ESLData!$B$1:$B$9955,0))</f>
        <v>128.96</v>
      </c>
      <c r="J551" s="382" t="s">
        <v>1304</v>
      </c>
      <c r="K551" s="368" t="str">
        <f>IF(ISNA(HLOOKUP("start",ESLData!C$1:C$9955,MATCH($A551,ESLData!$B$1:$B$9955,0))),"",HLOOKUP("start",ESLData!C$1:C$9955,MATCH($A551,ESLData!$B$1:$B$9955,0)))</f>
        <v>Equipment Maintenance</v>
      </c>
    </row>
    <row r="552" spans="1:11" s="368" customFormat="1" ht="14.25" customHeight="1" x14ac:dyDescent="0.2">
      <c r="A552" s="364">
        <v>39156</v>
      </c>
      <c r="C552" s="363">
        <f>HLOOKUP("start",ESLData!E$1:E$9955,MATCH($A552,ESLData!$B$1:$B$9955,0))</f>
        <v>661.09</v>
      </c>
      <c r="E552" s="363">
        <f>HLOOKUP("start",ESLData!F$1:F$9955,MATCH($A552,ESLData!$B$1:$B$9955,0))</f>
        <v>500</v>
      </c>
      <c r="G552" s="363">
        <f>HLOOKUP("start",ESLData!H$1:H$9955,MATCH($A552,ESLData!$B$1:$B$9955,0))</f>
        <v>195.19</v>
      </c>
      <c r="J552" s="382" t="s">
        <v>1304</v>
      </c>
      <c r="K552" s="368" t="str">
        <f>IF(ISNA(HLOOKUP("start",ESLData!C$1:C$9955,MATCH($A552,ESLData!$B$1:$B$9955,0))),"",HLOOKUP("start",ESLData!C$1:C$9955,MATCH($A552,ESLData!$B$1:$B$9955,0)))</f>
        <v>Equipment Maintenance</v>
      </c>
    </row>
    <row r="553" spans="1:11" s="368" customFormat="1" ht="14.25" customHeight="1" x14ac:dyDescent="0.2">
      <c r="A553" s="364">
        <v>39206</v>
      </c>
      <c r="C553" s="363">
        <f>HLOOKUP("start",ESLData!E$1:E$9955,MATCH($A553,ESLData!$B$1:$B$9955,0))</f>
        <v>170</v>
      </c>
      <c r="E553" s="363">
        <f>HLOOKUP("start",ESLData!F$1:F$9955,MATCH($A553,ESLData!$B$1:$B$9955,0))</f>
        <v>450</v>
      </c>
      <c r="G553" s="363">
        <f>HLOOKUP("start",ESLData!H$1:H$9955,MATCH($A553,ESLData!$B$1:$B$9955,0))</f>
        <v>218</v>
      </c>
      <c r="J553" s="382" t="s">
        <v>1304</v>
      </c>
      <c r="K553" s="368" t="str">
        <f>IF(ISNA(HLOOKUP("start",ESLData!C$1:C$9955,MATCH($A553,ESLData!$B$1:$B$9955,0))),"",HLOOKUP("start",ESLData!C$1:C$9955,MATCH($A553,ESLData!$B$1:$B$9955,0)))</f>
        <v>Equipment Maintenance</v>
      </c>
    </row>
    <row r="554" spans="1:11" s="368" customFormat="1" ht="14.25" customHeight="1" x14ac:dyDescent="0.2">
      <c r="A554" s="364">
        <v>39256</v>
      </c>
      <c r="C554" s="363">
        <f>HLOOKUP("start",ESLData!E$1:E$9955,MATCH($A554,ESLData!$B$1:$B$9955,0))</f>
        <v>0</v>
      </c>
      <c r="E554" s="363">
        <f>HLOOKUP("start",ESLData!F$1:F$9955,MATCH($A554,ESLData!$B$1:$B$9955,0))</f>
        <v>300</v>
      </c>
      <c r="G554" s="363">
        <f>HLOOKUP("start",ESLData!H$1:H$9955,MATCH($A554,ESLData!$B$1:$B$9955,0))</f>
        <v>122.61</v>
      </c>
      <c r="J554" s="382" t="s">
        <v>1304</v>
      </c>
      <c r="K554" s="368" t="str">
        <f>IF(ISNA(HLOOKUP("start",ESLData!C$1:C$9955,MATCH($A554,ESLData!$B$1:$B$9955,0))),"",HLOOKUP("start",ESLData!C$1:C$9955,MATCH($A554,ESLData!$B$1:$B$9955,0)))</f>
        <v>Equipment Maintenance</v>
      </c>
    </row>
    <row r="555" spans="1:11" s="368" customFormat="1" ht="14.25" customHeight="1" x14ac:dyDescent="0.2">
      <c r="A555" s="364">
        <v>39306</v>
      </c>
      <c r="C555" s="363">
        <f>HLOOKUP("start",ESLData!E$1:E$9955,MATCH($A555,ESLData!$B$1:$B$9955,0))</f>
        <v>816.62</v>
      </c>
      <c r="E555" s="363">
        <f>HLOOKUP("start",ESLData!F$1:F$9955,MATCH($A555,ESLData!$B$1:$B$9955,0))</f>
        <v>500</v>
      </c>
      <c r="G555" s="363">
        <f>HLOOKUP("start",ESLData!H$1:H$9955,MATCH($A555,ESLData!$B$1:$B$9955,0))</f>
        <v>149.78</v>
      </c>
      <c r="J555" s="382" t="s">
        <v>1304</v>
      </c>
      <c r="K555" s="368" t="str">
        <f>IF(ISNA(HLOOKUP("start",ESLData!C$1:C$9955,MATCH($A555,ESLData!$B$1:$B$9955,0))),"",HLOOKUP("start",ESLData!C$1:C$9955,MATCH($A555,ESLData!$B$1:$B$9955,0)))</f>
        <v>Equipment Maintenance</v>
      </c>
    </row>
    <row r="556" spans="1:11" s="368" customFormat="1" ht="14.25" customHeight="1" x14ac:dyDescent="0.2">
      <c r="A556" s="364">
        <v>39356</v>
      </c>
      <c r="C556" s="363">
        <f>HLOOKUP("start",ESLData!E$1:E$9955,MATCH($A556,ESLData!$B$1:$B$9955,0))</f>
        <v>238.12</v>
      </c>
      <c r="E556" s="363">
        <f>HLOOKUP("start",ESLData!F$1:F$9955,MATCH($A556,ESLData!$B$1:$B$9955,0))</f>
        <v>350</v>
      </c>
      <c r="G556" s="363">
        <f>HLOOKUP("start",ESLData!H$1:H$9955,MATCH($A556,ESLData!$B$1:$B$9955,0))</f>
        <v>212.78</v>
      </c>
      <c r="J556" s="382" t="s">
        <v>1304</v>
      </c>
      <c r="K556" s="368" t="str">
        <f>IF(ISNA(HLOOKUP("start",ESLData!C$1:C$9955,MATCH($A556,ESLData!$B$1:$B$9955,0))),"",HLOOKUP("start",ESLData!C$1:C$9955,MATCH($A556,ESLData!$B$1:$B$9955,0)))</f>
        <v>Equipment Maintenance</v>
      </c>
    </row>
    <row r="557" spans="1:11" s="368" customFormat="1" ht="14.25" customHeight="1" x14ac:dyDescent="0.2">
      <c r="A557" s="364">
        <v>39425</v>
      </c>
      <c r="C557" s="363">
        <f>HLOOKUP("start",ESLData!E$1:E$9955,MATCH($A557,ESLData!$B$1:$B$9955,0))</f>
        <v>0</v>
      </c>
      <c r="E557" s="363">
        <f>HLOOKUP("start",ESLData!F$1:F$9955,MATCH($A557,ESLData!$B$1:$B$9955,0))</f>
        <v>500</v>
      </c>
      <c r="G557" s="363">
        <f>HLOOKUP("start",ESLData!H$1:H$9955,MATCH($A557,ESLData!$B$1:$B$9955,0))</f>
        <v>359.68</v>
      </c>
      <c r="J557" s="382" t="s">
        <v>1304</v>
      </c>
      <c r="K557" s="368" t="str">
        <f>IF(ISNA(HLOOKUP("start",ESLData!C$1:C$9955,MATCH($A557,ESLData!$B$1:$B$9955,0))),"",HLOOKUP("start",ESLData!C$1:C$9955,MATCH($A557,ESLData!$B$1:$B$9955,0)))</f>
        <v>Equipment Maintenance</v>
      </c>
    </row>
    <row r="558" spans="1:11" s="368" customFormat="1" ht="14.25" customHeight="1" x14ac:dyDescent="0.2">
      <c r="A558" s="364">
        <v>35830</v>
      </c>
      <c r="C558" s="363">
        <f>HLOOKUP("start",ESLData!E$1:E$9955,MATCH($A558,ESLData!$B$1:$B$9955,0))</f>
        <v>69.52</v>
      </c>
      <c r="D558" s="400">
        <f>ROUND(SUM(C541:C558),0)</f>
        <v>4597</v>
      </c>
      <c r="E558" s="363">
        <f>HLOOKUP("start",ESLData!F$1:F$9955,MATCH($A558,ESLData!$B$1:$B$9955,0))</f>
        <v>1000</v>
      </c>
      <c r="F558" s="381">
        <f>ROUND(SUM(E541:E558),0)</f>
        <v>14050</v>
      </c>
      <c r="G558" s="363">
        <f>HLOOKUP("start",ESLData!H$1:H$9955,MATCH($A558,ESLData!$B$1:$B$9955,0))</f>
        <v>500</v>
      </c>
      <c r="H558" s="400">
        <f>ROUND(SUM(G541:G558),0)</f>
        <v>4554</v>
      </c>
      <c r="J558" s="382" t="s">
        <v>1304</v>
      </c>
      <c r="K558" s="368" t="str">
        <f>IF(ISNA(HLOOKUP("start",ESLData!C$1:C$9955,MATCH($A558,ESLData!$B$1:$B$9955,0))),"",HLOOKUP("start",ESLData!C$1:C$9955,MATCH($A558,ESLData!$B$1:$B$9955,0)))</f>
        <v>ITM - Equip Maintenance</v>
      </c>
    </row>
    <row r="559" spans="1:11" s="368" customFormat="1" ht="14.25" customHeight="1" x14ac:dyDescent="0.2">
      <c r="A559" s="367" t="s">
        <v>831</v>
      </c>
      <c r="C559" s="363"/>
      <c r="E559" s="363"/>
      <c r="G559" s="363"/>
      <c r="K559" s="368" t="str">
        <f>IF(ISNA(HLOOKUP("start",ESLData!C$1:C$9955,MATCH($A559,ESLData!$B$1:$B$9955,0))),"",HLOOKUP("start",ESLData!C$1:C$9955,MATCH($A559,ESLData!$B$1:$B$9955,0)))</f>
        <v/>
      </c>
    </row>
    <row r="560" spans="1:11" s="368" customFormat="1" ht="14.25" customHeight="1" x14ac:dyDescent="0.2">
      <c r="A560" s="365">
        <v>37300</v>
      </c>
      <c r="C560" s="363">
        <f>HLOOKUP("start",ESLData!E$1:E$9955,MATCH($A560,ESLData!$B$1:$B$9955,0))</f>
        <v>260493.62</v>
      </c>
      <c r="E560" s="363">
        <f>HLOOKUP("start",ESLData!F$1:F$9955,MATCH($A560,ESLData!$B$1:$B$9955,0))</f>
        <v>242468</v>
      </c>
      <c r="G560" s="363">
        <f>HLOOKUP("start",ESLData!H$1:H$9955,MATCH($A560,ESLData!$B$1:$B$9955,0))</f>
        <v>254140.95</v>
      </c>
      <c r="J560" s="382" t="s">
        <v>1304</v>
      </c>
      <c r="K560" s="368" t="str">
        <f>IF(ISNA(HLOOKUP("start",ESLData!C$1:C$9955,MATCH($A560,ESLData!$B$1:$B$9955,0))),"",HLOOKUP("start",ESLData!C$1:C$9955,MATCH($A560,ESLData!$B$1:$B$9955,0)))</f>
        <v>Salaries</v>
      </c>
    </row>
    <row r="561" spans="1:11" s="368" customFormat="1" ht="14.25" customHeight="1" x14ac:dyDescent="0.2">
      <c r="A561" s="365">
        <v>37306</v>
      </c>
      <c r="C561" s="363">
        <f>HLOOKUP("start",ESLData!E$1:E$9955,MATCH($A561,ESLData!$B$1:$B$9955,0))</f>
        <v>0</v>
      </c>
      <c r="E561" s="363">
        <f>HLOOKUP("start",ESLData!F$1:F$9955,MATCH($A561,ESLData!$B$1:$B$9955,0))</f>
        <v>6260</v>
      </c>
      <c r="G561" s="363">
        <f>HLOOKUP("start",ESLData!H$1:H$9955,MATCH($A561,ESLData!$B$1:$B$9955,0))</f>
        <v>1586.74</v>
      </c>
      <c r="J561" s="382" t="s">
        <v>1304</v>
      </c>
      <c r="K561" s="368" t="str">
        <f>IF(ISNA(HLOOKUP("start",ESLData!C$1:C$9955,MATCH($A561,ESLData!$B$1:$B$9955,0))),"",HLOOKUP("start",ESLData!C$1:C$9955,MATCH($A561,ESLData!$B$1:$B$9955,0)))</f>
        <v>Salaries - Relievers</v>
      </c>
    </row>
    <row r="562" spans="1:11" s="368" customFormat="1" ht="14.25" customHeight="1" x14ac:dyDescent="0.2">
      <c r="A562" s="365">
        <v>37315</v>
      </c>
      <c r="C562" s="363">
        <f>HLOOKUP("start",ESLData!E$1:E$9955,MATCH($A562,ESLData!$B$1:$B$9955,0))</f>
        <v>0</v>
      </c>
      <c r="E562" s="363">
        <f>HLOOKUP("start",ESLData!F$1:F$9955,MATCH($A562,ESLData!$B$1:$B$9955,0))</f>
        <v>0</v>
      </c>
      <c r="G562" s="363">
        <f>HLOOKUP("start",ESLData!H$1:H$9955,MATCH($A562,ESLData!$B$1:$B$9955,0))</f>
        <v>0</v>
      </c>
      <c r="I562" s="380" t="s">
        <v>1302</v>
      </c>
      <c r="K562" s="368" t="str">
        <f>IF(ISNA(HLOOKUP("start",ESLData!C$1:C$9955,MATCH($A562,ESLData!$B$1:$B$9955,0))),"",HLOOKUP("start",ESLData!C$1:C$9955,MATCH($A562,ESLData!$B$1:$B$9955,0)))</f>
        <v>Relieving Teacher Days Nat Ass</v>
      </c>
    </row>
    <row r="563" spans="1:11" s="368" customFormat="1" ht="14.25" customHeight="1" x14ac:dyDescent="0.2">
      <c r="A563" s="365">
        <v>37316</v>
      </c>
      <c r="C563" s="363">
        <f>HLOOKUP("start",ESLData!E$1:E$9955,MATCH($A563,ESLData!$B$1:$B$9955,0))</f>
        <v>1147.83</v>
      </c>
      <c r="E563" s="363">
        <f>HLOOKUP("start",ESLData!F$1:F$9955,MATCH($A563,ESLData!$B$1:$B$9955,0))</f>
        <v>1148</v>
      </c>
      <c r="G563" s="363">
        <f>HLOOKUP("start",ESLData!H$1:H$9955,MATCH($A563,ESLData!$B$1:$B$9955,0))</f>
        <v>947.83</v>
      </c>
      <c r="J563" s="382" t="s">
        <v>1304</v>
      </c>
      <c r="K563" s="368" t="str">
        <f>IF(ISNA(HLOOKUP("start",ESLData!C$1:C$9955,MATCH($A563,ESLData!$B$1:$B$9955,0))),"",HLOOKUP("start",ESLData!C$1:C$9955,MATCH($A563,ESLData!$B$1:$B$9955,0)))</f>
        <v>Salaries Acc Nat Asses</v>
      </c>
    </row>
    <row r="564" spans="1:11" s="368" customFormat="1" ht="14.25" customHeight="1" x14ac:dyDescent="0.2">
      <c r="A564" s="364">
        <v>37500</v>
      </c>
      <c r="C564" s="363">
        <f>HLOOKUP("start",ESLData!E$1:E$9955,MATCH($A564,ESLData!$B$1:$B$9955,0))</f>
        <v>12186.98</v>
      </c>
      <c r="E564" s="363">
        <f>HLOOKUP("start",ESLData!F$1:F$9955,MATCH($A564,ESLData!$B$1:$B$9955,0))</f>
        <v>14700</v>
      </c>
      <c r="G564" s="363">
        <f>HLOOKUP("start",ESLData!H$1:H$9955,MATCH($A564,ESLData!$B$1:$B$9955,0))</f>
        <v>11795.97</v>
      </c>
      <c r="J564" s="382" t="s">
        <v>1304</v>
      </c>
      <c r="K564" s="368" t="str">
        <f>IF(ISNA(HLOOKUP("start",ESLData!C$1:C$9955,MATCH($A564,ESLData!$B$1:$B$9955,0))),"",HLOOKUP("start",ESLData!C$1:C$9955,MATCH($A564,ESLData!$B$1:$B$9955,0)))</f>
        <v>Salaries</v>
      </c>
    </row>
    <row r="565" spans="1:11" s="368" customFormat="1" ht="14.25" customHeight="1" x14ac:dyDescent="0.2">
      <c r="A565" s="365">
        <v>37730</v>
      </c>
      <c r="C565" s="363">
        <f>HLOOKUP("start",ESLData!E$1:E$9955,MATCH($A565,ESLData!$B$1:$B$9955,0))</f>
        <v>16802.5</v>
      </c>
      <c r="E565" s="363">
        <f>HLOOKUP("start",ESLData!F$1:F$9955,MATCH($A565,ESLData!$B$1:$B$9955,0))</f>
        <v>22000</v>
      </c>
      <c r="G565" s="363">
        <f>HLOOKUP("start",ESLData!H$1:H$9955,MATCH($A565,ESLData!$B$1:$B$9955,0))</f>
        <v>17089.28</v>
      </c>
      <c r="J565" s="382" t="s">
        <v>1304</v>
      </c>
      <c r="K565" s="368" t="str">
        <f>IF(ISNA(HLOOKUP("start",ESLData!C$1:C$9955,MATCH($A565,ESLData!$B$1:$B$9955,0))),"",HLOOKUP("start",ESLData!C$1:C$9955,MATCH($A565,ESLData!$B$1:$B$9955,0)))</f>
        <v>Distance Braille Training/Salaries</v>
      </c>
    </row>
    <row r="566" spans="1:11" s="368" customFormat="1" ht="14.25" customHeight="1" x14ac:dyDescent="0.2">
      <c r="A566" s="364">
        <v>35060</v>
      </c>
      <c r="C566" s="363">
        <f>HLOOKUP("start",ESLData!E$1:E$9955,MATCH($A566,ESLData!$B$1:$B$9955,0))</f>
        <v>0</v>
      </c>
      <c r="E566" s="363">
        <f>HLOOKUP("start",ESLData!F$1:F$9955,MATCH($A566,ESLData!$B$1:$B$9955,0))</f>
        <v>0</v>
      </c>
      <c r="G566" s="363">
        <f>HLOOKUP("start",ESLData!H$1:H$9955,MATCH($A566,ESLData!$B$1:$B$9955,0))</f>
        <v>0</v>
      </c>
      <c r="I566" s="380" t="s">
        <v>1302</v>
      </c>
      <c r="K566" s="368" t="str">
        <f>IF(ISNA(HLOOKUP("start",ESLData!C$1:C$9955,MATCH($A566,ESLData!$B$1:$B$9955,0))),"",HLOOKUP("start",ESLData!C$1:C$9955,MATCH($A566,ESLData!$B$1:$B$9955,0)))</f>
        <v>Publications Itc Co-Ord</v>
      </c>
    </row>
    <row r="567" spans="1:11" s="368" customFormat="1" ht="14.25" customHeight="1" x14ac:dyDescent="0.2">
      <c r="A567" s="364">
        <v>35525</v>
      </c>
      <c r="C567" s="363">
        <f>HLOOKUP("start",ESLData!E$1:E$9955,MATCH($A567,ESLData!$B$1:$B$9955,0))</f>
        <v>68039.5</v>
      </c>
      <c r="E567" s="363">
        <f>HLOOKUP("start",ESLData!F$1:F$9955,MATCH($A567,ESLData!$B$1:$B$9955,0))</f>
        <v>190410</v>
      </c>
      <c r="G567" s="363">
        <f>HLOOKUP("start",ESLData!H$1:H$9955,MATCH($A567,ESLData!$B$1:$B$9955,0))</f>
        <v>56090.55</v>
      </c>
      <c r="J567" s="382" t="s">
        <v>1304</v>
      </c>
      <c r="K567" s="368" t="str">
        <f>IF(ISNA(HLOOKUP("start",ESLData!C$1:C$9955,MATCH($A567,ESLData!$B$1:$B$9955,0))),"",HLOOKUP("start",ESLData!C$1:C$9955,MATCH($A567,ESLData!$B$1:$B$9955,0)))</f>
        <v>Regional Relieving Teachers</v>
      </c>
    </row>
    <row r="568" spans="1:11" s="368" customFormat="1" ht="14.25" customHeight="1" x14ac:dyDescent="0.2">
      <c r="A568" s="364">
        <v>35526</v>
      </c>
      <c r="C568" s="363">
        <f>HLOOKUP("start",ESLData!E$1:E$9955,MATCH($A568,ESLData!$B$1:$B$9955,0))</f>
        <v>38709.730000000003</v>
      </c>
      <c r="E568" s="363">
        <f>HLOOKUP("start",ESLData!F$1:F$9955,MATCH($A568,ESLData!$B$1:$B$9955,0))</f>
        <v>38000</v>
      </c>
      <c r="G568" s="363">
        <f>HLOOKUP("start",ESLData!H$1:H$9955,MATCH($A568,ESLData!$B$1:$B$9955,0))</f>
        <v>35645.57</v>
      </c>
      <c r="I568" s="370"/>
      <c r="J568" s="382" t="s">
        <v>1304</v>
      </c>
      <c r="K568" s="368" t="str">
        <f>IF(ISNA(HLOOKUP("start",ESLData!C$1:C$9955,MATCH($A568,ESLData!$B$1:$B$9955,0))),"",HLOOKUP("start",ESLData!C$1:C$9955,MATCH($A568,ESLData!$B$1:$B$9955,0)))</f>
        <v>Regional IT Facilitator Support</v>
      </c>
    </row>
    <row r="569" spans="1:11" s="368" customFormat="1" ht="14.25" customHeight="1" x14ac:dyDescent="0.2">
      <c r="A569" s="364">
        <v>35527</v>
      </c>
      <c r="C569" s="363">
        <f>HLOOKUP("start",ESLData!E$1:E$9955,MATCH($A569,ESLData!$B$1:$B$9955,0))</f>
        <v>2938.38</v>
      </c>
      <c r="E569" s="363">
        <f>HLOOKUP("start",ESLData!F$1:F$9955,MATCH($A569,ESLData!$B$1:$B$9955,0))</f>
        <v>8250</v>
      </c>
      <c r="G569" s="363">
        <f>HLOOKUP("start",ESLData!H$1:H$9955,MATCH($A569,ESLData!$B$1:$B$9955,0))</f>
        <v>7632.31</v>
      </c>
      <c r="I569" s="370"/>
      <c r="J569" s="382" t="s">
        <v>1304</v>
      </c>
      <c r="K569" s="368" t="str">
        <f>IF(ISNA(HLOOKUP("start",ESLData!C$1:C$9955,MATCH($A569,ESLData!$B$1:$B$9955,0))),"",HLOOKUP("start",ESLData!C$1:C$9955,MATCH($A569,ESLData!$B$1:$B$9955,0)))</f>
        <v>Regional 3R Payments</v>
      </c>
    </row>
    <row r="570" spans="1:11" s="368" customFormat="1" ht="14.25" customHeight="1" x14ac:dyDescent="0.2">
      <c r="A570" s="364">
        <v>35528</v>
      </c>
      <c r="C570" s="363">
        <f>HLOOKUP("start",ESLData!E$1:E$9955,MATCH($A570,ESLData!$B$1:$B$9955,0))</f>
        <v>39803.730000000003</v>
      </c>
      <c r="E570" s="363">
        <f>HLOOKUP("start",ESLData!F$1:F$9955,MATCH($A570,ESLData!$B$1:$B$9955,0))</f>
        <v>60000</v>
      </c>
      <c r="G570" s="363">
        <f>HLOOKUP("start",ESLData!H$1:H$9955,MATCH($A570,ESLData!$B$1:$B$9955,0))</f>
        <v>44392.04</v>
      </c>
      <c r="I570" s="370"/>
      <c r="J570" s="382" t="s">
        <v>1304</v>
      </c>
      <c r="K570" s="368" t="str">
        <f>IF(ISNA(HLOOKUP("start",ESLData!C$1:C$9955,MATCH($A570,ESLData!$B$1:$B$9955,0))),"",HLOOKUP("start",ESLData!C$1:C$9955,MATCH($A570,ESLData!$B$1:$B$9955,0)))</f>
        <v>Network Project Secondment</v>
      </c>
    </row>
    <row r="571" spans="1:11" s="368" customFormat="1" ht="14.25" customHeight="1" x14ac:dyDescent="0.2">
      <c r="A571" s="364">
        <v>60000</v>
      </c>
      <c r="C571" s="363">
        <f>HLOOKUP("start",ESLData!E$1:E$9955,MATCH($A571,ESLData!$B$1:$B$9955,0))</f>
        <v>611166.43000000005</v>
      </c>
      <c r="E571" s="363">
        <f>HLOOKUP("start",ESLData!F$1:F$9955,MATCH($A571,ESLData!$B$1:$B$9955,0))</f>
        <v>941947</v>
      </c>
      <c r="G571" s="363">
        <f>HLOOKUP("start",ESLData!H$1:H$9955,MATCH($A571,ESLData!$B$1:$B$9955,0))</f>
        <v>582916.18999999994</v>
      </c>
      <c r="J571" s="382" t="s">
        <v>1304</v>
      </c>
      <c r="K571" s="368" t="str">
        <f>IF(ISNA(HLOOKUP("start",ESLData!C$1:C$9955,MATCH($A571,ESLData!$B$1:$B$9955,0))),"",HLOOKUP("start",ESLData!C$1:C$9955,MATCH($A571,ESLData!$B$1:$B$9955,0)))</f>
        <v>Staffing: O&amp;M</v>
      </c>
    </row>
    <row r="572" spans="1:11" s="368" customFormat="1" ht="14.25" customHeight="1" x14ac:dyDescent="0.2">
      <c r="A572" s="364">
        <v>60300</v>
      </c>
      <c r="C572" s="363">
        <f>HLOOKUP("start",ESLData!E$1:E$9955,MATCH($A572,ESLData!$B$1:$B$9955,0))</f>
        <v>3424.35</v>
      </c>
      <c r="E572" s="363">
        <f>HLOOKUP("start",ESLData!F$1:F$9955,MATCH($A572,ESLData!$B$1:$B$9955,0))</f>
        <v>4294</v>
      </c>
      <c r="G572" s="363">
        <f>HLOOKUP("start",ESLData!H$1:H$9955,MATCH($A572,ESLData!$B$1:$B$9955,0))</f>
        <v>2452.17</v>
      </c>
      <c r="J572" s="382" t="s">
        <v>1304</v>
      </c>
      <c r="K572" s="368" t="str">
        <f>IF(ISNA(HLOOKUP("start",ESLData!C$1:C$9955,MATCH($A572,ESLData!$B$1:$B$9955,0))),"",HLOOKUP("start",ESLData!C$1:C$9955,MATCH($A572,ESLData!$B$1:$B$9955,0)))</f>
        <v>Acc</v>
      </c>
    </row>
    <row r="573" spans="1:11" s="368" customFormat="1" ht="14.25" customHeight="1" x14ac:dyDescent="0.2">
      <c r="A573" s="364">
        <v>35200</v>
      </c>
      <c r="C573" s="363">
        <f>HLOOKUP("start",ESLData!E$1:E$9955,MATCH($A573,ESLData!$B$1:$B$9955,0))</f>
        <v>25986.77</v>
      </c>
      <c r="E573" s="363">
        <f>HLOOKUP("start",ESLData!F$1:F$9955,MATCH($A573,ESLData!$B$1:$B$9955,0))</f>
        <v>29849</v>
      </c>
      <c r="G573" s="363">
        <f>HLOOKUP("start",ESLData!H$1:H$9955,MATCH($A573,ESLData!$B$1:$B$9955,0))</f>
        <v>18475.41</v>
      </c>
      <c r="J573" s="382" t="s">
        <v>1304</v>
      </c>
      <c r="K573" s="368" t="str">
        <f>IF(ISNA(HLOOKUP("start",ESLData!C$1:C$9955,MATCH($A573,ESLData!$B$1:$B$9955,0))),"",HLOOKUP("start",ESLData!C$1:C$9955,MATCH($A573,ESLData!$B$1:$B$9955,0)))</f>
        <v>Salaries</v>
      </c>
    </row>
    <row r="574" spans="1:11" s="368" customFormat="1" ht="14.25" customHeight="1" x14ac:dyDescent="0.2">
      <c r="A574" s="364">
        <v>62500</v>
      </c>
      <c r="C574" s="363">
        <f>HLOOKUP("start",ESLData!E$1:E$9955,MATCH($A574,ESLData!$B$1:$B$9955,0))</f>
        <v>54313.96</v>
      </c>
      <c r="E574" s="363">
        <f>HLOOKUP("start",ESLData!F$1:F$9955,MATCH($A574,ESLData!$B$1:$B$9955,0))</f>
        <v>53771</v>
      </c>
      <c r="G574" s="363">
        <f>HLOOKUP("start",ESLData!H$1:H$9955,MATCH($A574,ESLData!$B$1:$B$9955,0))</f>
        <v>64428.639999999999</v>
      </c>
      <c r="J574" s="382" t="s">
        <v>1304</v>
      </c>
      <c r="K574" s="368" t="str">
        <f>IF(ISNA(HLOOKUP("start",ESLData!C$1:C$9955,MATCH($A574,ESLData!$B$1:$B$9955,0))),"",HLOOKUP("start",ESLData!C$1:C$9955,MATCH($A574,ESLData!$B$1:$B$9955,0)))</f>
        <v>Salaries</v>
      </c>
    </row>
    <row r="575" spans="1:11" s="368" customFormat="1" ht="14.25" customHeight="1" x14ac:dyDescent="0.2">
      <c r="A575" s="364">
        <v>61800</v>
      </c>
      <c r="C575" s="363">
        <f>HLOOKUP("start",ESLData!E$1:E$9955,MATCH($A575,ESLData!$B$1:$B$9955,0))</f>
        <v>718.9</v>
      </c>
      <c r="E575" s="363">
        <f>HLOOKUP("start",ESLData!F$1:F$9955,MATCH($A575,ESLData!$B$1:$B$9955,0))</f>
        <v>27000</v>
      </c>
      <c r="F575" s="369"/>
      <c r="G575" s="363">
        <f>HLOOKUP("start",ESLData!H$1:H$9955,MATCH($A575,ESLData!$B$1:$B$9955,0))</f>
        <v>5274.12</v>
      </c>
      <c r="J575" s="382" t="s">
        <v>1304</v>
      </c>
      <c r="K575" s="368" t="str">
        <f>IF(ISNA(HLOOKUP("start",ESLData!C$1:C$9955,MATCH($A575,ESLData!$B$1:$B$9955,0))),"",HLOOKUP("start",ESLData!C$1:C$9955,MATCH($A575,ESLData!$B$1:$B$9955,0)))</f>
        <v>Relieving Teacher Days</v>
      </c>
    </row>
    <row r="576" spans="1:11" s="368" customFormat="1" ht="14.25" customHeight="1" x14ac:dyDescent="0.2">
      <c r="A576" s="364">
        <v>63500</v>
      </c>
      <c r="C576" s="363">
        <f>HLOOKUP("start",ESLData!E$1:E$9955,MATCH($A576,ESLData!$B$1:$B$9955,0))</f>
        <v>24839.24</v>
      </c>
      <c r="E576" s="363">
        <f>HLOOKUP("start",ESLData!F$1:F$9955,MATCH($A576,ESLData!$B$1:$B$9955,0))</f>
        <v>29849</v>
      </c>
      <c r="G576" s="363">
        <f>HLOOKUP("start",ESLData!H$1:H$9955,MATCH($A576,ESLData!$B$1:$B$9955,0))</f>
        <v>17677.189999999999</v>
      </c>
      <c r="J576" s="382" t="s">
        <v>1304</v>
      </c>
      <c r="K576" s="368" t="str">
        <f>IF(ISNA(HLOOKUP("start",ESLData!C$1:C$9955,MATCH($A576,ESLData!$B$1:$B$9955,0))),"",HLOOKUP("start",ESLData!C$1:C$9955,MATCH($A576,ESLData!$B$1:$B$9955,0)))</f>
        <v>Salaries</v>
      </c>
    </row>
    <row r="577" spans="1:11" s="368" customFormat="1" ht="14.25" customHeight="1" x14ac:dyDescent="0.2">
      <c r="A577" s="364">
        <v>35400</v>
      </c>
      <c r="C577" s="363">
        <f>HLOOKUP("start",ESLData!E$1:E$9955,MATCH($A577,ESLData!$B$1:$B$9955,0))</f>
        <v>23202.92</v>
      </c>
      <c r="E577" s="363">
        <f>HLOOKUP("start",ESLData!F$1:F$9955,MATCH($A577,ESLData!$B$1:$B$9955,0))</f>
        <v>19500</v>
      </c>
      <c r="G577" s="363">
        <f>HLOOKUP("start",ESLData!H$1:H$9955,MATCH($A577,ESLData!$B$1:$B$9955,0))</f>
        <v>18300.14</v>
      </c>
      <c r="J577" s="382" t="s">
        <v>1304</v>
      </c>
      <c r="K577" s="368" t="str">
        <f>IF(ISNA(HLOOKUP("start",ESLData!C$1:C$9955,MATCH($A577,ESLData!$B$1:$B$9955,0))),"",HLOOKUP("start",ESLData!C$1:C$9955,MATCH($A577,ESLData!$B$1:$B$9955,0)))</f>
        <v>Salaries</v>
      </c>
    </row>
    <row r="578" spans="1:11" s="368" customFormat="1" ht="14.25" customHeight="1" x14ac:dyDescent="0.2">
      <c r="A578" s="364">
        <v>35700</v>
      </c>
      <c r="C578" s="363">
        <f>HLOOKUP("start",ESLData!E$1:E$9955,MATCH($A578,ESLData!$B$1:$B$9955,0))</f>
        <v>22355.03</v>
      </c>
      <c r="E578" s="363">
        <f>HLOOKUP("start",ESLData!F$1:F$9955,MATCH($A578,ESLData!$B$1:$B$9955,0))</f>
        <v>29022</v>
      </c>
      <c r="G578" s="363">
        <f>HLOOKUP("start",ESLData!H$1:H$9955,MATCH($A578,ESLData!$B$1:$B$9955,0))</f>
        <v>21151.13</v>
      </c>
      <c r="J578" s="382" t="s">
        <v>1304</v>
      </c>
      <c r="K578" s="368" t="str">
        <f>IF(ISNA(HLOOKUP("start",ESLData!C$1:C$9955,MATCH($A578,ESLData!$B$1:$B$9955,0))),"",HLOOKUP("start",ESLData!C$1:C$9955,MATCH($A578,ESLData!$B$1:$B$9955,0)))</f>
        <v>Salaries</v>
      </c>
    </row>
    <row r="579" spans="1:11" s="368" customFormat="1" ht="14.25" customHeight="1" x14ac:dyDescent="0.2">
      <c r="A579" s="364">
        <v>39030</v>
      </c>
      <c r="C579" s="363">
        <f>HLOOKUP("start",ESLData!E$1:E$9955,MATCH($A579,ESLData!$B$1:$B$9955,0))</f>
        <v>24599.65</v>
      </c>
      <c r="E579" s="363">
        <f>HLOOKUP("start",ESLData!F$1:F$9955,MATCH($A579,ESLData!$B$1:$B$9955,0))</f>
        <v>52519</v>
      </c>
      <c r="G579" s="363">
        <f>HLOOKUP("start",ESLData!H$1:H$9955,MATCH($A579,ESLData!$B$1:$B$9955,0))</f>
        <v>47496.17</v>
      </c>
      <c r="J579" s="382" t="s">
        <v>1304</v>
      </c>
      <c r="K579" s="368" t="str">
        <f>IF(ISNA(HLOOKUP("start",ESLData!C$1:C$9955,MATCH($A579,ESLData!$B$1:$B$9955,0))),"",HLOOKUP("start",ESLData!C$1:C$9955,MATCH($A579,ESLData!$B$1:$B$9955,0)))</f>
        <v>Hamilton - Salaries</v>
      </c>
    </row>
    <row r="580" spans="1:11" s="368" customFormat="1" ht="14.25" customHeight="1" x14ac:dyDescent="0.2">
      <c r="A580" s="364">
        <v>39080</v>
      </c>
      <c r="C580" s="363">
        <f>HLOOKUP("start",ESLData!E$1:E$9955,MATCH($A580,ESLData!$B$1:$B$9955,0))</f>
        <v>60493.93</v>
      </c>
      <c r="E580" s="363">
        <f>HLOOKUP("start",ESLData!F$1:F$9955,MATCH($A580,ESLData!$B$1:$B$9955,0))</f>
        <v>51163</v>
      </c>
      <c r="G580" s="363">
        <f>HLOOKUP("start",ESLData!H$1:H$9955,MATCH($A580,ESLData!$B$1:$B$9955,0))</f>
        <v>78705.56</v>
      </c>
      <c r="J580" s="382" t="s">
        <v>1304</v>
      </c>
      <c r="K580" s="368" t="str">
        <f>IF(ISNA(HLOOKUP("start",ESLData!C$1:C$9955,MATCH($A580,ESLData!$B$1:$B$9955,0))),"",HLOOKUP("start",ESLData!C$1:C$9955,MATCH($A580,ESLData!$B$1:$B$9955,0)))</f>
        <v>Christchurch - Salaries</v>
      </c>
    </row>
    <row r="581" spans="1:11" s="368" customFormat="1" ht="14.25" customHeight="1" x14ac:dyDescent="0.2">
      <c r="A581" s="364">
        <v>39130</v>
      </c>
      <c r="C581" s="363">
        <f>HLOOKUP("start",ESLData!E$1:E$9955,MATCH($A581,ESLData!$B$1:$B$9955,0))</f>
        <v>17077.13</v>
      </c>
      <c r="E581" s="363">
        <f>HLOOKUP("start",ESLData!F$1:F$9955,MATCH($A581,ESLData!$B$1:$B$9955,0))</f>
        <v>19500</v>
      </c>
      <c r="G581" s="363">
        <f>HLOOKUP("start",ESLData!H$1:H$9955,MATCH($A581,ESLData!$B$1:$B$9955,0))</f>
        <v>16758.939999999999</v>
      </c>
      <c r="J581" s="382" t="s">
        <v>1304</v>
      </c>
      <c r="K581" s="368" t="str">
        <f>IF(ISNA(HLOOKUP("start",ESLData!C$1:C$9955,MATCH($A581,ESLData!$B$1:$B$9955,0))),"",HLOOKUP("start",ESLData!C$1:C$9955,MATCH($A581,ESLData!$B$1:$B$9955,0)))</f>
        <v>Gisbone - Salaries</v>
      </c>
    </row>
    <row r="582" spans="1:11" s="368" customFormat="1" ht="14.25" customHeight="1" x14ac:dyDescent="0.2">
      <c r="A582" s="364">
        <v>39180</v>
      </c>
      <c r="C582" s="363">
        <f>HLOOKUP("start",ESLData!E$1:E$9955,MATCH($A582,ESLData!$B$1:$B$9955,0))</f>
        <v>52103.23</v>
      </c>
      <c r="E582" s="363">
        <f>HLOOKUP("start",ESLData!F$1:F$9955,MATCH($A582,ESLData!$B$1:$B$9955,0))</f>
        <v>54755</v>
      </c>
      <c r="G582" s="363">
        <f>HLOOKUP("start",ESLData!H$1:H$9955,MATCH($A582,ESLData!$B$1:$B$9955,0))</f>
        <v>54289.7</v>
      </c>
      <c r="J582" s="382" t="s">
        <v>1304</v>
      </c>
      <c r="K582" s="368" t="str">
        <f>IF(ISNA(HLOOKUP("start",ESLData!C$1:C$9955,MATCH($A582,ESLData!$B$1:$B$9955,0))),"",HLOOKUP("start",ESLData!C$1:C$9955,MATCH($A582,ESLData!$B$1:$B$9955,0)))</f>
        <v>Salaries</v>
      </c>
    </row>
    <row r="583" spans="1:11" s="368" customFormat="1" ht="14.25" customHeight="1" x14ac:dyDescent="0.2">
      <c r="A583" s="364">
        <v>39230</v>
      </c>
      <c r="C583" s="363">
        <f>HLOOKUP("start",ESLData!E$1:E$9955,MATCH($A583,ESLData!$B$1:$B$9955,0))</f>
        <v>27082.69</v>
      </c>
      <c r="E583" s="363">
        <f>HLOOKUP("start",ESLData!F$1:F$9955,MATCH($A583,ESLData!$B$1:$B$9955,0))</f>
        <v>30270</v>
      </c>
      <c r="G583" s="363">
        <f>HLOOKUP("start",ESLData!H$1:H$9955,MATCH($A583,ESLData!$B$1:$B$9955,0))</f>
        <v>25621.97</v>
      </c>
      <c r="J583" s="382" t="s">
        <v>1304</v>
      </c>
      <c r="K583" s="368" t="str">
        <f>IF(ISNA(HLOOKUP("start",ESLData!C$1:C$9955,MATCH($A583,ESLData!$B$1:$B$9955,0))),"",HLOOKUP("start",ESLData!C$1:C$9955,MATCH($A583,ESLData!$B$1:$B$9955,0)))</f>
        <v>Napier - Salaries</v>
      </c>
    </row>
    <row r="584" spans="1:11" s="368" customFormat="1" ht="14.25" customHeight="1" x14ac:dyDescent="0.2">
      <c r="A584" s="364">
        <v>39280</v>
      </c>
      <c r="C584" s="363">
        <f>HLOOKUP("start",ESLData!E$1:E$9955,MATCH($A584,ESLData!$B$1:$B$9955,0))</f>
        <v>43469.25</v>
      </c>
      <c r="E584" s="363">
        <f>HLOOKUP("start",ESLData!F$1:F$9955,MATCH($A584,ESLData!$B$1:$B$9955,0))</f>
        <v>47061</v>
      </c>
      <c r="G584" s="363">
        <f>HLOOKUP("start",ESLData!H$1:H$9955,MATCH($A584,ESLData!$B$1:$B$9955,0))</f>
        <v>42618.83</v>
      </c>
      <c r="J584" s="382" t="s">
        <v>1304</v>
      </c>
      <c r="K584" s="368" t="str">
        <f>IF(ISNA(HLOOKUP("start",ESLData!C$1:C$9955,MATCH($A584,ESLData!$B$1:$B$9955,0))),"",HLOOKUP("start",ESLData!C$1:C$9955,MATCH($A584,ESLData!$B$1:$B$9955,0)))</f>
        <v>Palmerston North - Salaries</v>
      </c>
    </row>
    <row r="585" spans="1:11" s="368" customFormat="1" ht="14.25" customHeight="1" x14ac:dyDescent="0.2">
      <c r="A585" s="364">
        <v>39330</v>
      </c>
      <c r="C585" s="363">
        <f>HLOOKUP("start",ESLData!E$1:E$9955,MATCH($A585,ESLData!$B$1:$B$9955,0))</f>
        <v>39231.49</v>
      </c>
      <c r="E585" s="363">
        <f>HLOOKUP("start",ESLData!F$1:F$9955,MATCH($A585,ESLData!$B$1:$B$9955,0))</f>
        <v>44658</v>
      </c>
      <c r="G585" s="363">
        <f>HLOOKUP("start",ESLData!H$1:H$9955,MATCH($A585,ESLData!$B$1:$B$9955,0))</f>
        <v>32212.93</v>
      </c>
      <c r="J585" s="382" t="s">
        <v>1304</v>
      </c>
      <c r="K585" s="368" t="str">
        <f>IF(ISNA(HLOOKUP("start",ESLData!C$1:C$9955,MATCH($A585,ESLData!$B$1:$B$9955,0))),"",HLOOKUP("start",ESLData!C$1:C$9955,MATCH($A585,ESLData!$B$1:$B$9955,0)))</f>
        <v>Tauranga - Salaries</v>
      </c>
    </row>
    <row r="586" spans="1:11" s="368" customFormat="1" ht="14.25" customHeight="1" x14ac:dyDescent="0.2">
      <c r="A586" s="364">
        <v>39380</v>
      </c>
      <c r="C586" s="363">
        <f>HLOOKUP("start",ESLData!E$1:E$9955,MATCH($A586,ESLData!$B$1:$B$9955,0))</f>
        <v>32722.86</v>
      </c>
      <c r="E586" s="363">
        <f>HLOOKUP("start",ESLData!F$1:F$9955,MATCH($A586,ESLData!$B$1:$B$9955,0))</f>
        <v>32198</v>
      </c>
      <c r="G586" s="363">
        <f>HLOOKUP("start",ESLData!H$1:H$9955,MATCH($A586,ESLData!$B$1:$B$9955,0))</f>
        <v>32061.69</v>
      </c>
      <c r="J586" s="382" t="s">
        <v>1304</v>
      </c>
      <c r="K586" s="368" t="str">
        <f>IF(ISNA(HLOOKUP("start",ESLData!C$1:C$9955,MATCH($A586,ESLData!$B$1:$B$9955,0))),"",HLOOKUP("start",ESLData!C$1:C$9955,MATCH($A586,ESLData!$B$1:$B$9955,0)))</f>
        <v>New Plymouth - Salaries</v>
      </c>
    </row>
    <row r="587" spans="1:11" s="368" customFormat="1" ht="14.25" customHeight="1" x14ac:dyDescent="0.2">
      <c r="A587" s="364">
        <v>39500</v>
      </c>
      <c r="C587" s="363">
        <f>HLOOKUP("start",ESLData!E$1:E$9955,MATCH($A587,ESLData!$B$1:$B$9955,0))</f>
        <v>28169.99</v>
      </c>
      <c r="E587" s="363">
        <f>HLOOKUP("start",ESLData!F$1:F$9955,MATCH($A587,ESLData!$B$1:$B$9955,0))</f>
        <v>29752</v>
      </c>
      <c r="G587" s="363">
        <f>HLOOKUP("start",ESLData!H$1:H$9955,MATCH($A587,ESLData!$B$1:$B$9955,0))</f>
        <v>22362.62</v>
      </c>
      <c r="J587" s="382" t="s">
        <v>1304</v>
      </c>
      <c r="K587" s="368" t="str">
        <f>IF(ISNA(HLOOKUP("start",ESLData!C$1:C$9955,MATCH($A587,ESLData!$B$1:$B$9955,0))),"",HLOOKUP("start",ESLData!C$1:C$9955,MATCH($A587,ESLData!$B$1:$B$9955,0)))</f>
        <v>Salaries</v>
      </c>
    </row>
    <row r="588" spans="1:11" s="368" customFormat="1" ht="14.25" customHeight="1" x14ac:dyDescent="0.2">
      <c r="A588" s="364">
        <v>35800</v>
      </c>
      <c r="C588" s="363">
        <f>HLOOKUP("start",ESLData!E$1:E$9955,MATCH($A588,ESLData!$B$1:$B$9955,0))</f>
        <v>24984.77</v>
      </c>
      <c r="E588" s="363">
        <f>HLOOKUP("start",ESLData!F$1:F$9955,MATCH($A588,ESLData!$B$1:$B$9955,0))</f>
        <v>27500</v>
      </c>
      <c r="G588" s="363">
        <f>HLOOKUP("start",ESLData!H$1:H$9955,MATCH($A588,ESLData!$B$1:$B$9955,0))</f>
        <v>28734.52</v>
      </c>
      <c r="J588" s="382" t="s">
        <v>1304</v>
      </c>
      <c r="K588" s="368" t="str">
        <f>IF(ISNA(HLOOKUP("start",ESLData!C$1:C$9955,MATCH($A588,ESLData!$B$1:$B$9955,0))),"",HLOOKUP("start",ESLData!C$1:C$9955,MATCH($A588,ESLData!$B$1:$B$9955,0)))</f>
        <v>ITM - Salary</v>
      </c>
    </row>
    <row r="589" spans="1:11" s="368" customFormat="1" ht="14.25" customHeight="1" x14ac:dyDescent="0.2">
      <c r="A589" s="364">
        <v>35805</v>
      </c>
      <c r="C589" s="363">
        <f>HLOOKUP("start",ESLData!E$1:E$9955,MATCH($A589,ESLData!$B$1:$B$9955,0))</f>
        <v>360</v>
      </c>
      <c r="D589" s="369"/>
      <c r="E589" s="363">
        <f>HLOOKUP("start",ESLData!F$1:F$9955,MATCH($A589,ESLData!$B$1:$B$9955,0))</f>
        <v>360</v>
      </c>
      <c r="G589" s="363">
        <f>HLOOKUP("start",ESLData!H$1:H$9955,MATCH($A589,ESLData!$B$1:$B$9955,0))</f>
        <v>313.04000000000002</v>
      </c>
      <c r="J589" s="382" t="s">
        <v>1304</v>
      </c>
      <c r="K589" s="368" t="str">
        <f>IF(ISNA(HLOOKUP("start",ESLData!C$1:C$9955,MATCH($A589,ESLData!$B$1:$B$9955,0))),"",HLOOKUP("start",ESLData!C$1:C$9955,MATCH($A589,ESLData!$B$1:$B$9955,0)))</f>
        <v>Music School - Acc</v>
      </c>
    </row>
    <row r="590" spans="1:11" s="368" customFormat="1" ht="14.25" customHeight="1" x14ac:dyDescent="0.2">
      <c r="A590" s="364">
        <v>37141</v>
      </c>
      <c r="C590" s="363">
        <f>HLOOKUP("start",ESLData!E$1:E$9955,MATCH($A590,ESLData!$B$1:$B$9955,0))</f>
        <v>0</v>
      </c>
      <c r="E590" s="363">
        <f>HLOOKUP("start",ESLData!F$1:F$9955,MATCH($A590,ESLData!$B$1:$B$9955,0))</f>
        <v>21385</v>
      </c>
      <c r="G590" s="363">
        <f>HLOOKUP("start",ESLData!H$1:H$9955,MATCH($A590,ESLData!$B$1:$B$9955,0))</f>
        <v>0</v>
      </c>
      <c r="J590" s="382" t="s">
        <v>1304</v>
      </c>
      <c r="K590" s="368" t="str">
        <f>IF(ISNA(HLOOKUP("start",ESLData!C$1:C$9955,MATCH($A590,ESLData!$B$1:$B$9955,0))),"",HLOOKUP("start",ESLData!C$1:C$9955,MATCH($A590,ESLData!$B$1:$B$9955,0)))</f>
        <v>Music Therapist</v>
      </c>
    </row>
    <row r="591" spans="1:11" s="368" customFormat="1" ht="14.25" customHeight="1" x14ac:dyDescent="0.2">
      <c r="A591" s="364">
        <v>35194</v>
      </c>
      <c r="C591" s="363">
        <f>HLOOKUP("start",ESLData!E$1:E$9955,MATCH($A591,ESLData!$B$1:$B$9955,0))</f>
        <v>52497.13</v>
      </c>
      <c r="E591" s="363">
        <f>HLOOKUP("start",ESLData!F$1:F$9955,MATCH($A591,ESLData!$B$1:$B$9955,0))</f>
        <v>0</v>
      </c>
      <c r="G591" s="363">
        <f>HLOOKUP("start",ESLData!H$1:H$9955,MATCH($A591,ESLData!$B$1:$B$9955,0))</f>
        <v>0</v>
      </c>
      <c r="J591" s="382" t="s">
        <v>1304</v>
      </c>
      <c r="K591" s="368" t="str">
        <f>IF(ISNA(HLOOKUP("start",ESLData!C$1:C$9955,MATCH($A591,ESLData!$B$1:$B$9955,0))),"",HLOOKUP("start",ESLData!C$1:C$9955,MATCH($A591,ESLData!$B$1:$B$9955,0)))</f>
        <v>Projects funded by Banked Staffing Cash</v>
      </c>
    </row>
    <row r="592" spans="1:11" s="368" customFormat="1" ht="14.25" customHeight="1" x14ac:dyDescent="0.2">
      <c r="A592" s="364">
        <v>35529</v>
      </c>
      <c r="C592" s="363">
        <f>HLOOKUP("start",ESLData!E$1:E$9955,MATCH($A592,ESLData!$B$1:$B$9955,0))</f>
        <v>1253.95</v>
      </c>
      <c r="D592" s="400">
        <f>ROUND(SUM(C560:C592),0)</f>
        <v>1610176</v>
      </c>
      <c r="E592" s="363">
        <f>HLOOKUP("start",ESLData!F$1:F$9955,MATCH($A592,ESLData!$B$1:$B$9955,0))</f>
        <v>20000</v>
      </c>
      <c r="F592" s="381">
        <f>ROUND(SUM(E560:E592),0)</f>
        <v>2149589</v>
      </c>
      <c r="G592" s="363">
        <f>HLOOKUP("start",ESLData!H$1:H$9955,MATCH($A592,ESLData!$B$1:$B$9955,0))</f>
        <v>0</v>
      </c>
      <c r="H592" s="400">
        <f>ROUND(SUM(G560:G592),0)</f>
        <v>1541172</v>
      </c>
      <c r="J592" s="382" t="s">
        <v>1304</v>
      </c>
      <c r="K592" s="368" t="str">
        <f>IF(ISNA(HLOOKUP("start",ESLData!C$1:C$9955,MATCH($A592,ESLData!$B$1:$B$9955,0))),"",HLOOKUP("start",ESLData!C$1:C$9955,MATCH($A592,ESLData!$B$1:$B$9955,0)))</f>
        <v>Resources Project</v>
      </c>
    </row>
    <row r="593" spans="1:11" s="380" customFormat="1" ht="14.25" customHeight="1" x14ac:dyDescent="0.2">
      <c r="A593" s="367" t="s">
        <v>602</v>
      </c>
      <c r="C593" s="378"/>
      <c r="E593" s="378"/>
      <c r="G593" s="378"/>
      <c r="J593" s="370"/>
      <c r="K593" s="368" t="str">
        <f>IF(ISNA(HLOOKUP("start",ESLData!C$1:C$9955,MATCH($A593,ESLData!$B$1:$B$9955,0))),"",HLOOKUP("start",ESLData!C$1:C$9955,MATCH($A593,ESLData!$B$1:$B$9955,0)))</f>
        <v/>
      </c>
    </row>
    <row r="594" spans="1:11" s="368" customFormat="1" ht="14.25" customHeight="1" x14ac:dyDescent="0.2">
      <c r="A594" s="365">
        <v>25150</v>
      </c>
      <c r="C594" s="363">
        <f>HLOOKUP("start",ESLData!E$1:E$9955,MATCH($A594,ESLData!$B$1:$B$9955,0))</f>
        <v>174525.18</v>
      </c>
      <c r="E594" s="363">
        <f>HLOOKUP("start",ESLData!F$1:F$9955,MATCH($A594,ESLData!$B$1:$B$9955,0))</f>
        <v>230000</v>
      </c>
      <c r="G594" s="363">
        <f>HLOOKUP("start",ESLData!H$1:H$9955,MATCH($A594,ESLData!$B$1:$B$9955,0))</f>
        <v>145351.99</v>
      </c>
      <c r="J594" s="382" t="s">
        <v>1304</v>
      </c>
      <c r="K594" s="368" t="str">
        <f>IF(ISNA(HLOOKUP("start",ESLData!C$1:C$9955,MATCH($A594,ESLData!$B$1:$B$9955,0))),"",HLOOKUP("start",ESLData!C$1:C$9955,MATCH($A594,ESLData!$B$1:$B$9955,0)))</f>
        <v>MOE Study Award Expenses</v>
      </c>
    </row>
    <row r="595" spans="1:11" s="368" customFormat="1" ht="14.25" customHeight="1" x14ac:dyDescent="0.2">
      <c r="A595" s="364">
        <v>37320</v>
      </c>
      <c r="C595" s="363">
        <f>HLOOKUP("start",ESLData!E$1:E$9955,MATCH($A595,ESLData!$B$1:$B$9955,0))</f>
        <v>295.64999999999998</v>
      </c>
      <c r="E595" s="363">
        <f>HLOOKUP("start",ESLData!F$1:F$9955,MATCH($A595,ESLData!$B$1:$B$9955,0))</f>
        <v>2500</v>
      </c>
      <c r="G595" s="363">
        <f>HLOOKUP("start",ESLData!H$1:H$9955,MATCH($A595,ESLData!$B$1:$B$9955,0))</f>
        <v>2754.61</v>
      </c>
      <c r="J595" s="382" t="s">
        <v>1304</v>
      </c>
      <c r="K595" s="368" t="str">
        <f>IF(ISNA(HLOOKUP("start",ESLData!C$1:C$9955,MATCH($A595,ESLData!$B$1:$B$9955,0))),"",HLOOKUP("start",ESLData!C$1:C$9955,MATCH($A595,ESLData!$B$1:$B$9955,0)))</f>
        <v>Staff Training/Conferences</v>
      </c>
    </row>
    <row r="596" spans="1:11" s="368" customFormat="1" ht="14.25" customHeight="1" x14ac:dyDescent="0.2">
      <c r="A596" s="364">
        <v>37745</v>
      </c>
      <c r="C596" s="363">
        <f>HLOOKUP("start",ESLData!E$1:E$9955,MATCH($A596,ESLData!$B$1:$B$9955,0))</f>
        <v>654.1</v>
      </c>
      <c r="E596" s="363">
        <f>HLOOKUP("start",ESLData!F$1:F$9955,MATCH($A596,ESLData!$B$1:$B$9955,0))</f>
        <v>0</v>
      </c>
      <c r="G596" s="363">
        <f>HLOOKUP("start",ESLData!H$1:H$9955,MATCH($A596,ESLData!$B$1:$B$9955,0))</f>
        <v>10814.86</v>
      </c>
      <c r="J596" s="382" t="s">
        <v>1304</v>
      </c>
      <c r="K596" s="368" t="str">
        <f>IF(ISNA(HLOOKUP("start",ESLData!C$1:C$9955,MATCH($A596,ESLData!$B$1:$B$9955,0))),"",HLOOKUP("start",ESLData!C$1:C$9955,MATCH($A596,ESLData!$B$1:$B$9955,0)))</f>
        <v>PD Travel &amp; Accomodation</v>
      </c>
    </row>
    <row r="597" spans="1:11" s="368" customFormat="1" ht="14.25" customHeight="1" x14ac:dyDescent="0.2">
      <c r="A597" s="364">
        <v>37740</v>
      </c>
      <c r="C597" s="363">
        <f>HLOOKUP("start",ESLData!E$1:E$9955,MATCH($A597,ESLData!$B$1:$B$9955,0))</f>
        <v>0</v>
      </c>
      <c r="D597" s="369"/>
      <c r="E597" s="363">
        <f>HLOOKUP("start",ESLData!F$1:F$9955,MATCH($A597,ESLData!$B$1:$B$9955,0))</f>
        <v>44082</v>
      </c>
      <c r="F597" s="369"/>
      <c r="G597" s="363">
        <f>HLOOKUP("start",ESLData!H$1:H$9955,MATCH($A597,ESLData!$B$1:$B$9955,0))</f>
        <v>0</v>
      </c>
      <c r="H597" s="369"/>
      <c r="J597" s="382" t="s">
        <v>1304</v>
      </c>
      <c r="K597" s="368" t="str">
        <f>IF(ISNA(HLOOKUP("start",ESLData!C$1:C$9955,MATCH($A597,ESLData!$B$1:$B$9955,0))),"",HLOOKUP("start",ESLData!C$1:C$9955,MATCH($A597,ESLData!$B$1:$B$9955,0)))</f>
        <v>PD Staffing</v>
      </c>
    </row>
    <row r="598" spans="1:11" s="368" customFormat="1" ht="14.25" customHeight="1" x14ac:dyDescent="0.2">
      <c r="A598" s="364">
        <v>35187</v>
      </c>
      <c r="C598" s="363">
        <f>HLOOKUP("start",ESLData!E$1:E$9955,MATCH($A598,ESLData!$B$1:$B$9955,0))</f>
        <v>691.94</v>
      </c>
      <c r="E598" s="363">
        <f>HLOOKUP("start",ESLData!F$1:F$9955,MATCH($A598,ESLData!$B$1:$B$9955,0))</f>
        <v>1000</v>
      </c>
      <c r="G598" s="363">
        <f>HLOOKUP("start",ESLData!H$1:H$9955,MATCH($A598,ESLData!$B$1:$B$9955,0))</f>
        <v>-73.2</v>
      </c>
      <c r="J598" s="382" t="s">
        <v>1304</v>
      </c>
      <c r="K598" s="368" t="str">
        <f>IF(ISNA(HLOOKUP("start",ESLData!C$1:C$9955,MATCH($A598,ESLData!$B$1:$B$9955,0))),"",HLOOKUP("start",ESLData!C$1:C$9955,MATCH($A598,ESLData!$B$1:$B$9955,0)))</f>
        <v>Staff Training / Conferences</v>
      </c>
    </row>
    <row r="599" spans="1:11" s="368" customFormat="1" ht="14.25" customHeight="1" x14ac:dyDescent="0.2">
      <c r="A599" s="364">
        <v>35167</v>
      </c>
      <c r="C599" s="363">
        <f>HLOOKUP("start",ESLData!E$1:E$9955,MATCH($A599,ESLData!$B$1:$B$9955,0))</f>
        <v>95.6</v>
      </c>
      <c r="E599" s="363">
        <f>HLOOKUP("start",ESLData!F$1:F$9955,MATCH($A599,ESLData!$B$1:$B$9955,0))</f>
        <v>1000</v>
      </c>
      <c r="G599" s="363">
        <f>HLOOKUP("start",ESLData!H$1:H$9955,MATCH($A599,ESLData!$B$1:$B$9955,0))</f>
        <v>0</v>
      </c>
      <c r="J599" s="382" t="s">
        <v>1304</v>
      </c>
      <c r="K599" s="368" t="str">
        <f>IF(ISNA(HLOOKUP("start",ESLData!C$1:C$9955,MATCH($A599,ESLData!$B$1:$B$9955,0))),"",HLOOKUP("start",ESLData!C$1:C$9955,MATCH($A599,ESLData!$B$1:$B$9955,0)))</f>
        <v>Staff Training/Conferences</v>
      </c>
    </row>
    <row r="600" spans="1:11" s="368" customFormat="1" ht="14.25" customHeight="1" x14ac:dyDescent="0.2">
      <c r="A600" s="364">
        <v>34770</v>
      </c>
      <c r="C600" s="363">
        <f>HLOOKUP("start",ESLData!E$1:E$9955,MATCH($A600,ESLData!$B$1:$B$9955,0))</f>
        <v>282.85000000000002</v>
      </c>
      <c r="E600" s="363">
        <f>HLOOKUP("start",ESLData!F$1:F$9955,MATCH($A600,ESLData!$B$1:$B$9955,0))</f>
        <v>1000</v>
      </c>
      <c r="G600" s="363">
        <f>HLOOKUP("start",ESLData!H$1:H$9955,MATCH($A600,ESLData!$B$1:$B$9955,0))</f>
        <v>138.97</v>
      </c>
      <c r="J600" s="382" t="s">
        <v>1304</v>
      </c>
      <c r="K600" s="368" t="str">
        <f>IF(ISNA(HLOOKUP("start",ESLData!C$1:C$9955,MATCH($A600,ESLData!$B$1:$B$9955,0))),"",HLOOKUP("start",ESLData!C$1:C$9955,MATCH($A600,ESLData!$B$1:$B$9955,0)))</f>
        <v>Staff Training/Conferences</v>
      </c>
    </row>
    <row r="601" spans="1:11" s="368" customFormat="1" ht="14.25" customHeight="1" x14ac:dyDescent="0.2">
      <c r="A601" s="364">
        <v>35070</v>
      </c>
      <c r="C601" s="363">
        <f>HLOOKUP("start",ESLData!E$1:E$9955,MATCH($A601,ESLData!$B$1:$B$9955,0))</f>
        <v>0</v>
      </c>
      <c r="E601" s="363">
        <f>HLOOKUP("start",ESLData!F$1:F$9955,MATCH($A601,ESLData!$B$1:$B$9955,0))</f>
        <v>1000</v>
      </c>
      <c r="G601" s="363">
        <f>HLOOKUP("start",ESLData!H$1:H$9955,MATCH($A601,ESLData!$B$1:$B$9955,0))</f>
        <v>130.43</v>
      </c>
      <c r="J601" s="382" t="s">
        <v>1304</v>
      </c>
      <c r="K601" s="368" t="str">
        <f>IF(ISNA(HLOOKUP("start",ESLData!C$1:C$9955,MATCH($A601,ESLData!$B$1:$B$9955,0))),"",HLOOKUP("start",ESLData!C$1:C$9955,MATCH($A601,ESLData!$B$1:$B$9955,0)))</f>
        <v>Staff Training/Conferences Ict</v>
      </c>
    </row>
    <row r="602" spans="1:11" s="368" customFormat="1" ht="14.25" customHeight="1" x14ac:dyDescent="0.2">
      <c r="A602" s="364">
        <v>35970</v>
      </c>
      <c r="C602" s="363">
        <f>HLOOKUP("start",ESLData!E$1:E$9955,MATCH($A602,ESLData!$B$1:$B$9955,0))</f>
        <v>432.12</v>
      </c>
      <c r="E602" s="363">
        <f>HLOOKUP("start",ESLData!F$1:F$9955,MATCH($A602,ESLData!$B$1:$B$9955,0))</f>
        <v>1000</v>
      </c>
      <c r="G602" s="363">
        <f>HLOOKUP("start",ESLData!H$1:H$9955,MATCH($A602,ESLData!$B$1:$B$9955,0))</f>
        <v>105</v>
      </c>
      <c r="H602" s="370"/>
      <c r="I602" s="370"/>
      <c r="J602" s="382" t="s">
        <v>1304</v>
      </c>
      <c r="K602" s="368" t="str">
        <f>IF(ISNA(HLOOKUP("start",ESLData!C$1:C$9955,MATCH($A602,ESLData!$B$1:$B$9955,0))),"",HLOOKUP("start",ESLData!C$1:C$9955,MATCH($A602,ESLData!$B$1:$B$9955,0)))</f>
        <v>Staff Training/Conferences Ec</v>
      </c>
    </row>
    <row r="603" spans="1:11" s="368" customFormat="1" ht="14.25" customHeight="1" x14ac:dyDescent="0.2">
      <c r="A603" s="364">
        <v>35196</v>
      </c>
      <c r="C603" s="363">
        <f>HLOOKUP("start",ESLData!E$1:E$9955,MATCH($A603,ESLData!$B$1:$B$9955,0))</f>
        <v>20842.580000000002</v>
      </c>
      <c r="E603" s="363">
        <f>HLOOKUP("start",ESLData!F$1:F$9955,MATCH($A603,ESLData!$B$1:$B$9955,0))</f>
        <v>30000</v>
      </c>
      <c r="G603" s="363">
        <f>HLOOKUP("start",ESLData!H$1:H$9955,MATCH($A603,ESLData!$B$1:$B$9955,0))</f>
        <v>17861.93</v>
      </c>
      <c r="J603" s="382" t="s">
        <v>1304</v>
      </c>
      <c r="K603" s="368" t="str">
        <f>IF(ISNA(HLOOKUP("start",ESLData!C$1:C$9955,MATCH($A603,ESLData!$B$1:$B$9955,0))),"",HLOOKUP("start",ESLData!C$1:C$9955,MATCH($A603,ESLData!$B$1:$B$9955,0)))</f>
        <v>Regional Funded Pd</v>
      </c>
    </row>
    <row r="604" spans="1:11" s="368" customFormat="1" ht="14.25" customHeight="1" x14ac:dyDescent="0.2">
      <c r="A604" s="364">
        <v>60700</v>
      </c>
      <c r="C604" s="363">
        <f>HLOOKUP("start",ESLData!E$1:E$9955,MATCH($A604,ESLData!$B$1:$B$9955,0))</f>
        <v>6093.3</v>
      </c>
      <c r="E604" s="363">
        <f>HLOOKUP("start",ESLData!F$1:F$9955,MATCH($A604,ESLData!$B$1:$B$9955,0))</f>
        <v>18000</v>
      </c>
      <c r="G604" s="363">
        <f>HLOOKUP("start",ESLData!H$1:H$9955,MATCH($A604,ESLData!$B$1:$B$9955,0))</f>
        <v>1299.95</v>
      </c>
      <c r="J604" s="382" t="s">
        <v>1304</v>
      </c>
      <c r="K604" s="368" t="str">
        <f>IF(ISNA(HLOOKUP("start",ESLData!C$1:C$9955,MATCH($A604,ESLData!$B$1:$B$9955,0))),"",HLOOKUP("start",ESLData!C$1:C$9955,MATCH($A604,ESLData!$B$1:$B$9955,0)))</f>
        <v>Staff Training/Conferences</v>
      </c>
    </row>
    <row r="605" spans="1:11" s="368" customFormat="1" ht="14.25" customHeight="1" x14ac:dyDescent="0.2">
      <c r="A605" s="364">
        <v>61100</v>
      </c>
      <c r="C605" s="363">
        <f>HLOOKUP("start",ESLData!E$1:E$9955,MATCH($A605,ESLData!$B$1:$B$9955,0))</f>
        <v>3127.01</v>
      </c>
      <c r="E605" s="363">
        <f>HLOOKUP("start",ESLData!F$1:F$9955,MATCH($A605,ESLData!$B$1:$B$9955,0))</f>
        <v>19200</v>
      </c>
      <c r="F605" s="369"/>
      <c r="G605" s="363">
        <f>HLOOKUP("start",ESLData!H$1:H$9955,MATCH($A605,ESLData!$B$1:$B$9955,0))</f>
        <v>6413.04</v>
      </c>
      <c r="J605" s="382" t="s">
        <v>1304</v>
      </c>
      <c r="K605" s="368" t="str">
        <f>IF(ISNA(HLOOKUP("start",ESLData!C$1:C$9955,MATCH($A605,ESLData!$B$1:$B$9955,0))),"",HLOOKUP("start",ESLData!C$1:C$9955,MATCH($A605,ESLData!$B$1:$B$9955,0)))</f>
        <v>Course Fees</v>
      </c>
    </row>
    <row r="606" spans="1:11" s="368" customFormat="1" ht="14.25" customHeight="1" x14ac:dyDescent="0.2">
      <c r="A606" s="364">
        <v>61150</v>
      </c>
      <c r="C606" s="363">
        <f>HLOOKUP("start",ESLData!E$1:E$9955,MATCH($A606,ESLData!$B$1:$B$9955,0))</f>
        <v>3276.49</v>
      </c>
      <c r="E606" s="363">
        <f>HLOOKUP("start",ESLData!F$1:F$9955,MATCH($A606,ESLData!$B$1:$B$9955,0))</f>
        <v>3200</v>
      </c>
      <c r="F606" s="369"/>
      <c r="G606" s="363">
        <f>HLOOKUP("start",ESLData!H$1:H$9955,MATCH($A606,ESLData!$B$1:$B$9955,0))</f>
        <v>6424.35</v>
      </c>
      <c r="J606" s="382" t="s">
        <v>1304</v>
      </c>
      <c r="K606" s="368" t="str">
        <f>IF(ISNA(HLOOKUP("start",ESLData!C$1:C$9955,MATCH($A606,ESLData!$B$1:$B$9955,0))),"",HLOOKUP("start",ESLData!C$1:C$9955,MATCH($A606,ESLData!$B$1:$B$9955,0)))</f>
        <v>Course Fees Year 2</v>
      </c>
    </row>
    <row r="607" spans="1:11" s="368" customFormat="1" ht="14.25" customHeight="1" x14ac:dyDescent="0.2">
      <c r="A607" s="364">
        <v>61170</v>
      </c>
      <c r="C607" s="363">
        <f>HLOOKUP("start",ESLData!E$1:E$9955,MATCH($A607,ESLData!$B$1:$B$9955,0))</f>
        <v>22885.37</v>
      </c>
      <c r="E607" s="363">
        <f>HLOOKUP("start",ESLData!F$1:F$9955,MATCH($A607,ESLData!$B$1:$B$9955,0))</f>
        <v>26400</v>
      </c>
      <c r="F607" s="369"/>
      <c r="G607" s="363">
        <f>HLOOKUP("start",ESLData!H$1:H$9955,MATCH($A607,ESLData!$B$1:$B$9955,0))</f>
        <v>9469.57</v>
      </c>
      <c r="J607" s="382" t="s">
        <v>1304</v>
      </c>
      <c r="K607" s="368" t="str">
        <f>IF(ISNA(HLOOKUP("start",ESLData!C$1:C$9955,MATCH($A607,ESLData!$B$1:$B$9955,0))),"",HLOOKUP("start",ESLData!C$1:C$9955,MATCH($A607,ESLData!$B$1:$B$9955,0)))</f>
        <v>Course Fees Blindfold</v>
      </c>
    </row>
    <row r="608" spans="1:11" s="368" customFormat="1" ht="14.25" customHeight="1" x14ac:dyDescent="0.2">
      <c r="A608" s="364">
        <v>61500</v>
      </c>
      <c r="C608" s="363">
        <f>HLOOKUP("start",ESLData!E$1:E$9955,MATCH($A608,ESLData!$B$1:$B$9955,0))</f>
        <v>15746.19</v>
      </c>
      <c r="E608" s="363">
        <f>HLOOKUP("start",ESLData!F$1:F$9955,MATCH($A608,ESLData!$B$1:$B$9955,0))</f>
        <v>36000</v>
      </c>
      <c r="F608" s="369"/>
      <c r="G608" s="363">
        <f>HLOOKUP("start",ESLData!H$1:H$9955,MATCH($A608,ESLData!$B$1:$B$9955,0))</f>
        <v>21478.27</v>
      </c>
      <c r="J608" s="382" t="s">
        <v>1304</v>
      </c>
      <c r="K608" s="368" t="str">
        <f>IF(ISNA(HLOOKUP("start",ESLData!C$1:C$9955,MATCH($A608,ESLData!$B$1:$B$9955,0))),"",HLOOKUP("start",ESLData!C$1:C$9955,MATCH($A608,ESLData!$B$1:$B$9955,0)))</f>
        <v>Massey Costs</v>
      </c>
    </row>
    <row r="609" spans="1:11" s="368" customFormat="1" ht="14.25" customHeight="1" x14ac:dyDescent="0.2">
      <c r="A609" s="364">
        <v>35215</v>
      </c>
      <c r="C609" s="363">
        <f>HLOOKUP("start",ESLData!E$1:E$9955,MATCH($A609,ESLData!$B$1:$B$9955,0))</f>
        <v>456.39</v>
      </c>
      <c r="E609" s="363">
        <f>HLOOKUP("start",ESLData!F$1:F$9955,MATCH($A609,ESLData!$B$1:$B$9955,0))</f>
        <v>1500</v>
      </c>
      <c r="G609" s="363">
        <f>HLOOKUP("start",ESLData!H$1:H$9955,MATCH($A609,ESLData!$B$1:$B$9955,0))</f>
        <v>626.08000000000004</v>
      </c>
      <c r="J609" s="382" t="s">
        <v>1304</v>
      </c>
      <c r="K609" s="368" t="str">
        <f>IF(ISNA(HLOOKUP("start",ESLData!C$1:C$9955,MATCH($A609,ESLData!$B$1:$B$9955,0))),"",HLOOKUP("start",ESLData!C$1:C$9955,MATCH($A609,ESLData!$B$1:$B$9955,0)))</f>
        <v>Staff Training /Conferences</v>
      </c>
    </row>
    <row r="610" spans="1:11" s="368" customFormat="1" ht="14.25" customHeight="1" x14ac:dyDescent="0.2">
      <c r="A610" s="364">
        <v>62560</v>
      </c>
      <c r="C610" s="363">
        <f>HLOOKUP("start",ESLData!E$1:E$9955,MATCH($A610,ESLData!$B$1:$B$9955,0))</f>
        <v>2840.93</v>
      </c>
      <c r="E610" s="363">
        <f>HLOOKUP("start",ESLData!F$1:F$9955,MATCH($A610,ESLData!$B$1:$B$9955,0))</f>
        <v>4000</v>
      </c>
      <c r="G610" s="363">
        <f>HLOOKUP("start",ESLData!H$1:H$9955,MATCH($A610,ESLData!$B$1:$B$9955,0))</f>
        <v>5177.6099999999997</v>
      </c>
      <c r="J610" s="382" t="s">
        <v>1304</v>
      </c>
      <c r="K610" s="368" t="str">
        <f>IF(ISNA(HLOOKUP("start",ESLData!C$1:C$9955,MATCH($A610,ESLData!$B$1:$B$9955,0))),"",HLOOKUP("start",ESLData!C$1:C$9955,MATCH($A610,ESLData!$B$1:$B$9955,0)))</f>
        <v>Staff Training/Conference</v>
      </c>
    </row>
    <row r="611" spans="1:11" s="368" customFormat="1" ht="14.25" customHeight="1" x14ac:dyDescent="0.2">
      <c r="A611" s="364">
        <v>63560</v>
      </c>
      <c r="C611" s="363">
        <f>HLOOKUP("start",ESLData!E$1:E$9955,MATCH($A611,ESLData!$B$1:$B$9955,0))</f>
        <v>302.99</v>
      </c>
      <c r="D611" s="369"/>
      <c r="E611" s="363">
        <f>HLOOKUP("start",ESLData!F$1:F$9955,MATCH($A611,ESLData!$B$1:$B$9955,0))</f>
        <v>1500</v>
      </c>
      <c r="F611" s="369"/>
      <c r="G611" s="363">
        <f>HLOOKUP("start",ESLData!H$1:H$9955,MATCH($A611,ESLData!$B$1:$B$9955,0))</f>
        <v>1244.1199999999999</v>
      </c>
      <c r="H611" s="369"/>
      <c r="J611" s="382" t="s">
        <v>1304</v>
      </c>
      <c r="K611" s="368" t="str">
        <f>IF(ISNA(HLOOKUP("start",ESLData!C$1:C$9955,MATCH($A611,ESLData!$B$1:$B$9955,0))),"",HLOOKUP("start",ESLData!C$1:C$9955,MATCH($A611,ESLData!$B$1:$B$9955,0)))</f>
        <v>Staff Training/Conferences</v>
      </c>
    </row>
    <row r="612" spans="1:11" s="368" customFormat="1" ht="14.25" customHeight="1" x14ac:dyDescent="0.2">
      <c r="A612" s="364">
        <v>35410</v>
      </c>
      <c r="C612" s="363">
        <f>HLOOKUP("start",ESLData!E$1:E$9955,MATCH($A612,ESLData!$B$1:$B$9955,0))</f>
        <v>982.71</v>
      </c>
      <c r="E612" s="363">
        <f>HLOOKUP("start",ESLData!F$1:F$9955,MATCH($A612,ESLData!$B$1:$B$9955,0))</f>
        <v>1000</v>
      </c>
      <c r="G612" s="363">
        <f>HLOOKUP("start",ESLData!H$1:H$9955,MATCH($A612,ESLData!$B$1:$B$9955,0))</f>
        <v>201.96</v>
      </c>
      <c r="J612" s="382" t="s">
        <v>1304</v>
      </c>
      <c r="K612" s="368" t="str">
        <f>IF(ISNA(HLOOKUP("start",ESLData!C$1:C$9955,MATCH($A612,ESLData!$B$1:$B$9955,0))),"",HLOOKUP("start",ESLData!C$1:C$9955,MATCH($A612,ESLData!$B$1:$B$9955,0)))</f>
        <v>Staff Training/ Conferences</v>
      </c>
    </row>
    <row r="613" spans="1:11" s="368" customFormat="1" ht="14.25" customHeight="1" x14ac:dyDescent="0.2">
      <c r="A613" s="364">
        <v>35705</v>
      </c>
      <c r="C613" s="363">
        <f>HLOOKUP("start",ESLData!E$1:E$9955,MATCH($A613,ESLData!$B$1:$B$9955,0))</f>
        <v>680.87</v>
      </c>
      <c r="E613" s="363">
        <f>HLOOKUP("start",ESLData!F$1:F$9955,MATCH($A613,ESLData!$B$1:$B$9955,0))</f>
        <v>750</v>
      </c>
      <c r="G613" s="363">
        <f>HLOOKUP("start",ESLData!H$1:H$9955,MATCH($A613,ESLData!$B$1:$B$9955,0))</f>
        <v>392.4</v>
      </c>
      <c r="J613" s="382" t="s">
        <v>1304</v>
      </c>
      <c r="K613" s="368" t="str">
        <f>IF(ISNA(HLOOKUP("start",ESLData!C$1:C$9955,MATCH($A613,ESLData!$B$1:$B$9955,0))),"",HLOOKUP("start",ESLData!C$1:C$9955,MATCH($A613,ESLData!$B$1:$B$9955,0)))</f>
        <v>Staff Training/Conferences</v>
      </c>
    </row>
    <row r="614" spans="1:11" s="368" customFormat="1" ht="14.25" customHeight="1" x14ac:dyDescent="0.2">
      <c r="A614" s="364">
        <v>39031</v>
      </c>
      <c r="C614" s="363">
        <f>HLOOKUP("start",ESLData!E$1:E$9955,MATCH($A614,ESLData!$B$1:$B$9955,0))</f>
        <v>1085.8800000000001</v>
      </c>
      <c r="E614" s="363">
        <f>HLOOKUP("start",ESLData!F$1:F$9955,MATCH($A614,ESLData!$B$1:$B$9955,0))</f>
        <v>2000</v>
      </c>
      <c r="G614" s="363">
        <f>HLOOKUP("start",ESLData!H$1:H$9955,MATCH($A614,ESLData!$B$1:$B$9955,0))</f>
        <v>1312.03</v>
      </c>
      <c r="J614" s="382" t="s">
        <v>1304</v>
      </c>
      <c r="K614" s="368" t="str">
        <f>IF(ISNA(HLOOKUP("start",ESLData!C$1:C$9955,MATCH($A614,ESLData!$B$1:$B$9955,0))),"",HLOOKUP("start",ESLData!C$1:C$9955,MATCH($A614,ESLData!$B$1:$B$9955,0)))</f>
        <v>Staff Training/Conferences</v>
      </c>
    </row>
    <row r="615" spans="1:11" s="368" customFormat="1" ht="14.25" customHeight="1" x14ac:dyDescent="0.2">
      <c r="A615" s="364">
        <v>39081</v>
      </c>
      <c r="C615" s="363">
        <f>HLOOKUP("start",ESLData!E$1:E$9955,MATCH($A615,ESLData!$B$1:$B$9955,0))</f>
        <v>2434.11</v>
      </c>
      <c r="E615" s="363">
        <f>HLOOKUP("start",ESLData!F$1:F$9955,MATCH($A615,ESLData!$B$1:$B$9955,0))</f>
        <v>4500</v>
      </c>
      <c r="G615" s="363">
        <f>HLOOKUP("start",ESLData!H$1:H$9955,MATCH($A615,ESLData!$B$1:$B$9955,0))</f>
        <v>3356.19</v>
      </c>
      <c r="J615" s="382" t="s">
        <v>1304</v>
      </c>
      <c r="K615" s="368" t="str">
        <f>IF(ISNA(HLOOKUP("start",ESLData!C$1:C$9955,MATCH($A615,ESLData!$B$1:$B$9955,0))),"",HLOOKUP("start",ESLData!C$1:C$9955,MATCH($A615,ESLData!$B$1:$B$9955,0)))</f>
        <v>Staff Training/Conferences</v>
      </c>
    </row>
    <row r="616" spans="1:11" s="368" customFormat="1" ht="14.25" customHeight="1" x14ac:dyDescent="0.2">
      <c r="A616" s="364">
        <v>39131</v>
      </c>
      <c r="C616" s="363">
        <f>HLOOKUP("start",ESLData!E$1:E$9955,MATCH($A616,ESLData!$B$1:$B$9955,0))</f>
        <v>879.87</v>
      </c>
      <c r="E616" s="363">
        <f>HLOOKUP("start",ESLData!F$1:F$9955,MATCH($A616,ESLData!$B$1:$B$9955,0))</f>
        <v>1000</v>
      </c>
      <c r="G616" s="363">
        <f>HLOOKUP("start",ESLData!H$1:H$9955,MATCH($A616,ESLData!$B$1:$B$9955,0))</f>
        <v>647.80999999999995</v>
      </c>
      <c r="J616" s="382" t="s">
        <v>1304</v>
      </c>
      <c r="K616" s="368" t="str">
        <f>IF(ISNA(HLOOKUP("start",ESLData!C$1:C$9955,MATCH($A616,ESLData!$B$1:$B$9955,0))),"",HLOOKUP("start",ESLData!C$1:C$9955,MATCH($A616,ESLData!$B$1:$B$9955,0)))</f>
        <v>Staff Training/Conferences</v>
      </c>
    </row>
    <row r="617" spans="1:11" s="368" customFormat="1" ht="14.25" customHeight="1" x14ac:dyDescent="0.2">
      <c r="A617" s="364">
        <v>39181</v>
      </c>
      <c r="C617" s="363">
        <f>HLOOKUP("start",ESLData!E$1:E$9955,MATCH($A617,ESLData!$B$1:$B$9955,0))</f>
        <v>2055.77</v>
      </c>
      <c r="E617" s="363">
        <f>HLOOKUP("start",ESLData!F$1:F$9955,MATCH($A617,ESLData!$B$1:$B$9955,0))</f>
        <v>1500</v>
      </c>
      <c r="G617" s="363">
        <f>HLOOKUP("start",ESLData!H$1:H$9955,MATCH($A617,ESLData!$B$1:$B$9955,0))</f>
        <v>1110.45</v>
      </c>
      <c r="J617" s="382" t="s">
        <v>1304</v>
      </c>
      <c r="K617" s="368" t="str">
        <f>IF(ISNA(HLOOKUP("start",ESLData!C$1:C$9955,MATCH($A617,ESLData!$B$1:$B$9955,0))),"",HLOOKUP("start",ESLData!C$1:C$9955,MATCH($A617,ESLData!$B$1:$B$9955,0)))</f>
        <v>Staff Training/Conferences</v>
      </c>
    </row>
    <row r="618" spans="1:11" s="368" customFormat="1" ht="14.25" customHeight="1" x14ac:dyDescent="0.2">
      <c r="A618" s="364">
        <v>39231</v>
      </c>
      <c r="C618" s="363">
        <f>HLOOKUP("start",ESLData!E$1:E$9955,MATCH($A618,ESLData!$B$1:$B$9955,0))</f>
        <v>390</v>
      </c>
      <c r="E618" s="363">
        <f>HLOOKUP("start",ESLData!F$1:F$9955,MATCH($A618,ESLData!$B$1:$B$9955,0))</f>
        <v>750</v>
      </c>
      <c r="G618" s="363">
        <f>HLOOKUP("start",ESLData!H$1:H$9955,MATCH($A618,ESLData!$B$1:$B$9955,0))</f>
        <v>300.68</v>
      </c>
      <c r="J618" s="382" t="s">
        <v>1304</v>
      </c>
      <c r="K618" s="368" t="str">
        <f>IF(ISNA(HLOOKUP("start",ESLData!C$1:C$9955,MATCH($A618,ESLData!$B$1:$B$9955,0))),"",HLOOKUP("start",ESLData!C$1:C$9955,MATCH($A618,ESLData!$B$1:$B$9955,0)))</f>
        <v>Staff Training/Conferences</v>
      </c>
    </row>
    <row r="619" spans="1:11" s="368" customFormat="1" ht="14.25" customHeight="1" x14ac:dyDescent="0.2">
      <c r="A619" s="364">
        <v>39281</v>
      </c>
      <c r="C619" s="363">
        <f>HLOOKUP("start",ESLData!E$1:E$9955,MATCH($A619,ESLData!$B$1:$B$9955,0))</f>
        <v>1699.86</v>
      </c>
      <c r="E619" s="363">
        <f>HLOOKUP("start",ESLData!F$1:F$9955,MATCH($A619,ESLData!$B$1:$B$9955,0))</f>
        <v>1000</v>
      </c>
      <c r="G619" s="363">
        <f>HLOOKUP("start",ESLData!H$1:H$9955,MATCH($A619,ESLData!$B$1:$B$9955,0))</f>
        <v>195.66</v>
      </c>
      <c r="J619" s="382" t="s">
        <v>1304</v>
      </c>
      <c r="K619" s="368" t="str">
        <f>IF(ISNA(HLOOKUP("start",ESLData!C$1:C$9955,MATCH($A619,ESLData!$B$1:$B$9955,0))),"",HLOOKUP("start",ESLData!C$1:C$9955,MATCH($A619,ESLData!$B$1:$B$9955,0)))</f>
        <v>Staff Training/Conferences</v>
      </c>
    </row>
    <row r="620" spans="1:11" s="368" customFormat="1" ht="14.25" customHeight="1" x14ac:dyDescent="0.2">
      <c r="A620" s="364">
        <v>39331</v>
      </c>
      <c r="C620" s="363">
        <f>HLOOKUP("start",ESLData!E$1:E$9955,MATCH($A620,ESLData!$B$1:$B$9955,0))</f>
        <v>1477.32</v>
      </c>
      <c r="E620" s="363">
        <f>HLOOKUP("start",ESLData!F$1:F$9955,MATCH($A620,ESLData!$B$1:$B$9955,0))</f>
        <v>2000</v>
      </c>
      <c r="G620" s="363">
        <f>HLOOKUP("start",ESLData!H$1:H$9955,MATCH($A620,ESLData!$B$1:$B$9955,0))</f>
        <v>1659.2</v>
      </c>
      <c r="J620" s="382" t="s">
        <v>1304</v>
      </c>
      <c r="K620" s="368" t="str">
        <f>IF(ISNA(HLOOKUP("start",ESLData!C$1:C$9955,MATCH($A620,ESLData!$B$1:$B$9955,0))),"",HLOOKUP("start",ESLData!C$1:C$9955,MATCH($A620,ESLData!$B$1:$B$9955,0)))</f>
        <v>Staff Training/Conferences</v>
      </c>
    </row>
    <row r="621" spans="1:11" s="368" customFormat="1" ht="14.25" customHeight="1" x14ac:dyDescent="0.2">
      <c r="A621" s="364">
        <v>39381</v>
      </c>
      <c r="C621" s="363">
        <f>HLOOKUP("start",ESLData!E$1:E$9955,MATCH($A621,ESLData!$B$1:$B$9955,0))</f>
        <v>352.17</v>
      </c>
      <c r="E621" s="363">
        <f>HLOOKUP("start",ESLData!F$1:F$9955,MATCH($A621,ESLData!$B$1:$B$9955,0))</f>
        <v>1500</v>
      </c>
      <c r="G621" s="363">
        <f>HLOOKUP("start",ESLData!H$1:H$9955,MATCH($A621,ESLData!$B$1:$B$9955,0))</f>
        <v>1200.42</v>
      </c>
      <c r="J621" s="382" t="s">
        <v>1304</v>
      </c>
      <c r="K621" s="368" t="str">
        <f>IF(ISNA(HLOOKUP("start",ESLData!C$1:C$9955,MATCH($A621,ESLData!$B$1:$B$9955,0))),"",HLOOKUP("start",ESLData!C$1:C$9955,MATCH($A621,ESLData!$B$1:$B$9955,0)))</f>
        <v>Staff Training/Conferences</v>
      </c>
    </row>
    <row r="622" spans="1:11" s="368" customFormat="1" ht="14.25" customHeight="1" x14ac:dyDescent="0.2">
      <c r="A622" s="364">
        <v>39505</v>
      </c>
      <c r="C622" s="363">
        <f>HLOOKUP("start",ESLData!E$1:E$9955,MATCH($A622,ESLData!$B$1:$B$9955,0))</f>
        <v>785.57</v>
      </c>
      <c r="E622" s="363">
        <f>HLOOKUP("start",ESLData!F$1:F$9955,MATCH($A622,ESLData!$B$1:$B$9955,0))</f>
        <v>700</v>
      </c>
      <c r="G622" s="363">
        <f>HLOOKUP("start",ESLData!H$1:H$9955,MATCH($A622,ESLData!$B$1:$B$9955,0))</f>
        <v>80</v>
      </c>
      <c r="J622" s="382" t="s">
        <v>1304</v>
      </c>
      <c r="K622" s="368" t="str">
        <f>IF(ISNA(HLOOKUP("start",ESLData!C$1:C$9955,MATCH($A622,ESLData!$B$1:$B$9955,0))),"",HLOOKUP("start",ESLData!C$1:C$9955,MATCH($A622,ESLData!$B$1:$B$9955,0)))</f>
        <v>Staff Training/Conferences</v>
      </c>
    </row>
    <row r="623" spans="1:11" s="368" customFormat="1" ht="14.25" customHeight="1" x14ac:dyDescent="0.2">
      <c r="A623" s="364">
        <v>46675</v>
      </c>
      <c r="C623" s="363">
        <f>HLOOKUP("start",ESLData!E$1:E$9955,MATCH($A623,ESLData!$B$1:$B$9955,0))</f>
        <v>22831.75</v>
      </c>
      <c r="E623" s="363">
        <f>HLOOKUP("start",ESLData!F$1:F$9955,MATCH($A623,ESLData!$B$1:$B$9955,0))</f>
        <v>61000</v>
      </c>
      <c r="G623" s="363">
        <f>HLOOKUP("start",ESLData!H$1:H$9955,MATCH($A623,ESLData!$B$1:$B$9955,0))</f>
        <v>50884.65</v>
      </c>
      <c r="J623" s="382" t="s">
        <v>1304</v>
      </c>
      <c r="K623" s="368" t="str">
        <f>IF(ISNA(HLOOKUP("start",ESLData!C$1:C$9955,MATCH($A623,ESLData!$B$1:$B$9955,0))),"",HLOOKUP("start",ESLData!C$1:C$9955,MATCH($A623,ESLData!$B$1:$B$9955,0)))</f>
        <v>International Conferences</v>
      </c>
    </row>
    <row r="624" spans="1:11" s="368" customFormat="1" ht="14.25" customHeight="1" x14ac:dyDescent="0.2">
      <c r="A624" s="364">
        <v>46880</v>
      </c>
      <c r="C624" s="363">
        <f>HLOOKUP("start",ESLData!E$1:E$9955,MATCH($A624,ESLData!$B$1:$B$9955,0))</f>
        <v>2245.1</v>
      </c>
      <c r="E624" s="363">
        <f>HLOOKUP("start",ESLData!F$1:F$9955,MATCH($A624,ESLData!$B$1:$B$9955,0))</f>
        <v>3000</v>
      </c>
      <c r="G624" s="363">
        <f>HLOOKUP("start",ESLData!H$1:H$9955,MATCH($A624,ESLData!$B$1:$B$9955,0))</f>
        <v>1087.5899999999999</v>
      </c>
      <c r="J624" s="382" t="s">
        <v>1304</v>
      </c>
      <c r="K624" s="368" t="str">
        <f>IF(ISNA(HLOOKUP("start",ESLData!C$1:C$9955,MATCH($A624,ESLData!$B$1:$B$9955,0))),"",HLOOKUP("start",ESLData!C$1:C$9955,MATCH($A624,ESLData!$B$1:$B$9955,0)))</f>
        <v>Training Costs - Admin Staff</v>
      </c>
    </row>
    <row r="625" spans="1:11" s="368" customFormat="1" ht="14.25" customHeight="1" x14ac:dyDescent="0.2">
      <c r="A625" s="364">
        <v>46885</v>
      </c>
      <c r="C625" s="363">
        <f>HLOOKUP("start",ESLData!E$1:E$9955,MATCH($A625,ESLData!$B$1:$B$9955,0))</f>
        <v>87844.41</v>
      </c>
      <c r="E625" s="363">
        <f>HLOOKUP("start",ESLData!F$1:F$9955,MATCH($A625,ESLData!$B$1:$B$9955,0))</f>
        <v>70000</v>
      </c>
      <c r="G625" s="363">
        <f>HLOOKUP("start",ESLData!H$1:H$9955,MATCH($A625,ESLData!$B$1:$B$9955,0))</f>
        <v>800.79</v>
      </c>
      <c r="J625" s="382" t="s">
        <v>1304</v>
      </c>
      <c r="K625" s="368" t="str">
        <f>IF(ISNA(HLOOKUP("start",ESLData!C$1:C$9955,MATCH($A625,ESLData!$B$1:$B$9955,0))),"",HLOOKUP("start",ESLData!C$1:C$9955,MATCH($A625,ESLData!$B$1:$B$9955,0)))</f>
        <v>Blennz Wide Staff Training</v>
      </c>
    </row>
    <row r="626" spans="1:11" s="368" customFormat="1" ht="14.25" customHeight="1" x14ac:dyDescent="0.2">
      <c r="A626" s="364">
        <v>61160</v>
      </c>
      <c r="C626" s="363">
        <f>HLOOKUP("start",ESLData!E$1:E$9955,MATCH($A626,ESLData!$B$1:$B$9955,0))</f>
        <v>3276.49</v>
      </c>
      <c r="E626" s="363">
        <f>HLOOKUP("start",ESLData!F$1:F$9955,MATCH($A626,ESLData!$B$1:$B$9955,0))</f>
        <v>3200</v>
      </c>
      <c r="G626" s="363">
        <f>HLOOKUP("start",ESLData!H$1:H$9955,MATCH($A626,ESLData!$B$1:$B$9955,0))</f>
        <v>0</v>
      </c>
      <c r="J626" s="382" t="s">
        <v>1304</v>
      </c>
      <c r="K626" s="368" t="str">
        <f>IF(ISNA(HLOOKUP("start",ESLData!C$1:C$9955,MATCH($A626,ESLData!$B$1:$B$9955,0))),"",HLOOKUP("start",ESLData!C$1:C$9955,MATCH($A626,ESLData!$B$1:$B$9955,0)))</f>
        <v>Course Fees - Year 3</v>
      </c>
    </row>
    <row r="627" spans="1:11" s="368" customFormat="1" ht="14.25" customHeight="1" x14ac:dyDescent="0.2">
      <c r="A627" s="364">
        <v>61175</v>
      </c>
      <c r="C627" s="363">
        <f>HLOOKUP("start",ESLData!E$1:E$9955,MATCH($A627,ESLData!$B$1:$B$9955,0))</f>
        <v>0</v>
      </c>
      <c r="E627" s="363">
        <f>HLOOKUP("start",ESLData!F$1:F$9955,MATCH($A627,ESLData!$B$1:$B$9955,0))</f>
        <v>5000</v>
      </c>
      <c r="G627" s="363">
        <f>HLOOKUP("start",ESLData!H$1:H$9955,MATCH($A627,ESLData!$B$1:$B$9955,0))</f>
        <v>0</v>
      </c>
      <c r="J627" s="382" t="s">
        <v>1304</v>
      </c>
      <c r="K627" s="368" t="str">
        <f>IF(ISNA(HLOOKUP("start",ESLData!C$1:C$9955,MATCH($A627,ESLData!$B$1:$B$9955,0))),"",HLOOKUP("start",ESLData!C$1:C$9955,MATCH($A627,ESLData!$B$1:$B$9955,0)))</f>
        <v>Course Fees - ADL</v>
      </c>
    </row>
    <row r="628" spans="1:11" s="368" customFormat="1" ht="14.25" customHeight="1" x14ac:dyDescent="0.2">
      <c r="A628" s="364">
        <v>60210</v>
      </c>
      <c r="C628" s="363">
        <f>HLOOKUP("start",ESLData!E$1:E$9955,MATCH($A628,ESLData!$B$1:$B$9955,0))</f>
        <v>0</v>
      </c>
      <c r="E628" s="363">
        <f>HLOOKUP("start",ESLData!F$1:F$9955,MATCH($A628,ESLData!$B$1:$B$9955,0))</f>
        <v>12000</v>
      </c>
      <c r="G628" s="363">
        <f>HLOOKUP("start",ESLData!H$1:H$9955,MATCH($A628,ESLData!$B$1:$B$9955,0))</f>
        <v>0</v>
      </c>
      <c r="J628" s="382" t="s">
        <v>1304</v>
      </c>
      <c r="K628" s="368" t="str">
        <f>IF(ISNA(HLOOKUP("start",ESLData!C$1:C$9955,MATCH($A628,ESLData!$B$1:$B$9955,0))),"",HLOOKUP("start",ESLData!C$1:C$9955,MATCH($A628,ESLData!$B$1:$B$9955,0)))</f>
        <v>ADL Professional Development</v>
      </c>
    </row>
    <row r="629" spans="1:11" s="368" customFormat="1" ht="14.25" customHeight="1" x14ac:dyDescent="0.2">
      <c r="A629" s="364">
        <v>37750</v>
      </c>
      <c r="C629" s="363">
        <f>HLOOKUP("start",ESLData!E$1:E$9955,MATCH($A629,ESLData!$B$1:$B$9955,0))</f>
        <v>0</v>
      </c>
      <c r="D629" s="400">
        <f>ROUND(SUM(C594:C629),0)</f>
        <v>381571</v>
      </c>
      <c r="E629" s="363">
        <f>HLOOKUP("start",ESLData!F$1:F$9955,MATCH($A629,ESLData!$B$1:$B$9955,0))</f>
        <v>0</v>
      </c>
      <c r="F629" s="381">
        <f>ROUND(SUM(E594:E629),0)</f>
        <v>592282</v>
      </c>
      <c r="G629" s="363">
        <f>HLOOKUP("start",ESLData!H$1:H$9955,MATCH($A629,ESLData!$B$1:$B$9955,0))</f>
        <v>1232.82</v>
      </c>
      <c r="H629" s="400">
        <f>ROUND(SUM(G594:G629),0)</f>
        <v>293680</v>
      </c>
      <c r="J629" s="382" t="s">
        <v>1304</v>
      </c>
      <c r="K629" s="368" t="str">
        <f>IF(ISNA(HLOOKUP("start",ESLData!C$1:C$9955,MATCH($A629,ESLData!$B$1:$B$9955,0))),"",HLOOKUP("start",ESLData!C$1:C$9955,MATCH($A629,ESLData!$B$1:$B$9955,0)))</f>
        <v>PD Consumables</v>
      </c>
    </row>
    <row r="630" spans="1:11" s="379" customFormat="1" ht="14.25" customHeight="1" x14ac:dyDescent="0.2">
      <c r="A630" s="376" t="s">
        <v>609</v>
      </c>
      <c r="B630" s="368"/>
      <c r="C630" s="363"/>
      <c r="D630" s="368"/>
      <c r="E630" s="363"/>
      <c r="F630" s="368"/>
      <c r="G630" s="363"/>
      <c r="H630" s="368"/>
      <c r="K630" s="368" t="str">
        <f>IF(ISNA(HLOOKUP("start",ESLData!C$1:C$9955,MATCH($A630,ESLData!$B$1:$B$9955,0))),"",HLOOKUP("start",ESLData!C$1:C$9955,MATCH($A630,ESLData!$B$1:$B$9955,0)))</f>
        <v/>
      </c>
    </row>
    <row r="631" spans="1:11" ht="14.25" customHeight="1" x14ac:dyDescent="0.2">
      <c r="A631" s="367" t="s">
        <v>812</v>
      </c>
      <c r="C631" s="363"/>
      <c r="E631" s="363"/>
      <c r="G631" s="363"/>
      <c r="J631" s="382" t="s">
        <v>1304</v>
      </c>
      <c r="K631" s="368" t="str">
        <f>IF(ISNA(HLOOKUP("start",ESLData!C$1:C$9955,MATCH($A631,ESLData!$B$1:$B$9955,0))),"",HLOOKUP("start",ESLData!C$1:C$9955,MATCH($A631,ESLData!$B$1:$B$9955,0)))</f>
        <v/>
      </c>
    </row>
    <row r="632" spans="1:11" s="368" customFormat="1" ht="14.25" customHeight="1" x14ac:dyDescent="0.2">
      <c r="A632" s="364">
        <v>35115</v>
      </c>
      <c r="C632" s="363">
        <f>HLOOKUP("start",ESLData!E$1:E$9955,MATCH($A632,ESLData!$B$1:$B$9955,0))</f>
        <v>0</v>
      </c>
      <c r="E632" s="363">
        <f>HLOOKUP("start",ESLData!F$1:F$9955,MATCH($A632,ESLData!$B$1:$B$9955,0))</f>
        <v>0</v>
      </c>
      <c r="G632" s="363">
        <f>HLOOKUP("start",ESLData!H$1:H$9955,MATCH($A632,ESLData!$B$1:$B$9955,0))</f>
        <v>0</v>
      </c>
      <c r="J632" s="382" t="s">
        <v>1304</v>
      </c>
      <c r="K632" s="368" t="str">
        <f>IF(ISNA(HLOOKUP("start",ESLData!C$1:C$9955,MATCH($A632,ESLData!$B$1:$B$9955,0))),"",HLOOKUP("start",ESLData!C$1:C$9955,MATCH($A632,ESLData!$B$1:$B$9955,0)))</f>
        <v>Vehicle Insurance</v>
      </c>
    </row>
    <row r="633" spans="1:11" s="375" customFormat="1" ht="14.25" customHeight="1" x14ac:dyDescent="0.2">
      <c r="A633" s="364">
        <v>38980</v>
      </c>
      <c r="B633" s="368"/>
      <c r="C633" s="363">
        <f>HLOOKUP("start",ESLData!E$1:E$9955,MATCH($A633,ESLData!$B$1:$B$9955,0))</f>
        <v>0</v>
      </c>
      <c r="D633" s="368"/>
      <c r="E633" s="363">
        <f>HLOOKUP("start",ESLData!F$1:F$9955,MATCH($A633,ESLData!$B$1:$B$9955,0))</f>
        <v>0</v>
      </c>
      <c r="F633" s="368"/>
      <c r="G633" s="363">
        <f>HLOOKUP("start",ESLData!H$1:H$9955,MATCH($A633,ESLData!$B$1:$B$9955,0))</f>
        <v>0</v>
      </c>
      <c r="H633" s="368"/>
      <c r="K633" s="368" t="str">
        <f>IF(ISNA(HLOOKUP("start",ESLData!C$1:C$9955,MATCH($A633,ESLData!$B$1:$B$9955,0))),"",HLOOKUP("start",ESLData!C$1:C$9955,MATCH($A633,ESLData!$B$1:$B$9955,0)))</f>
        <v>Parent Courses</v>
      </c>
    </row>
    <row r="634" spans="1:11" s="375" customFormat="1" ht="14.25" customHeight="1" x14ac:dyDescent="0.2">
      <c r="A634" s="364">
        <v>38969</v>
      </c>
      <c r="B634" s="368"/>
      <c r="C634" s="363">
        <f>HLOOKUP("start",ESLData!E$1:E$9955,MATCH($A634,ESLData!$B$1:$B$9955,0))</f>
        <v>210</v>
      </c>
      <c r="D634" s="368"/>
      <c r="E634" s="363">
        <f>HLOOKUP("start",ESLData!F$1:F$9955,MATCH($A634,ESLData!$B$1:$B$9955,0))</f>
        <v>0</v>
      </c>
      <c r="F634" s="368"/>
      <c r="G634" s="363">
        <f>HLOOKUP("start",ESLData!H$1:H$9955,MATCH($A634,ESLData!$B$1:$B$9955,0))</f>
        <v>0</v>
      </c>
      <c r="H634" s="368"/>
      <c r="K634" s="368" t="str">
        <f>IF(ISNA(HLOOKUP("start",ESLData!C$1:C$9955,MATCH($A634,ESLData!$B$1:$B$9955,0))),"",HLOOKUP("start",ESLData!C$1:C$9955,MATCH($A634,ESLData!$B$1:$B$9955,0)))</f>
        <v>Technology L/Vision Napier</v>
      </c>
    </row>
    <row r="635" spans="1:11" s="368" customFormat="1" ht="14.25" customHeight="1" x14ac:dyDescent="0.2">
      <c r="A635" s="364">
        <v>35120</v>
      </c>
      <c r="C635" s="363">
        <f>HLOOKUP("start",ESLData!E$1:E$9955,MATCH($A635,ESLData!$B$1:$B$9955,0))</f>
        <v>0</v>
      </c>
      <c r="E635" s="363">
        <f>HLOOKUP("start",ESLData!F$1:F$9955,MATCH($A635,ESLData!$B$1:$B$9955,0))</f>
        <v>0</v>
      </c>
      <c r="G635" s="363">
        <f>HLOOKUP("start",ESLData!H$1:H$9955,MATCH($A635,ESLData!$B$1:$B$9955,0))</f>
        <v>0</v>
      </c>
      <c r="J635" s="382" t="s">
        <v>1304</v>
      </c>
      <c r="K635" s="368" t="str">
        <f>IF(ISNA(HLOOKUP("start",ESLData!C$1:C$9955,MATCH($A635,ESLData!$B$1:$B$9955,0))),"",HLOOKUP("start",ESLData!C$1:C$9955,MATCH($A635,ESLData!$B$1:$B$9955,0)))</f>
        <v>Vehicle Maintenance</v>
      </c>
    </row>
    <row r="636" spans="1:11" s="368" customFormat="1" ht="14.25" customHeight="1" x14ac:dyDescent="0.2">
      <c r="A636" s="364">
        <v>35258</v>
      </c>
      <c r="C636" s="363">
        <f>HLOOKUP("start",ESLData!E$1:E$9955,MATCH($A636,ESLData!$B$1:$B$9955,0))</f>
        <v>0</v>
      </c>
      <c r="E636" s="363">
        <f>HLOOKUP("start",ESLData!F$1:F$9955,MATCH($A636,ESLData!$B$1:$B$9955,0))</f>
        <v>0</v>
      </c>
      <c r="G636" s="363">
        <f>HLOOKUP("start",ESLData!H$1:H$9955,MATCH($A636,ESLData!$B$1:$B$9955,0))</f>
        <v>0</v>
      </c>
      <c r="J636" s="382" t="s">
        <v>1304</v>
      </c>
      <c r="K636" s="368" t="str">
        <f>IF(ISNA(HLOOKUP("start",ESLData!C$1:C$9955,MATCH($A636,ESLData!$B$1:$B$9955,0))),"",HLOOKUP("start",ESLData!C$1:C$9955,MATCH($A636,ESLData!$B$1:$B$9955,0)))</f>
        <v>Vehicle Insurance</v>
      </c>
    </row>
    <row r="637" spans="1:11" s="368" customFormat="1" ht="14.25" customHeight="1" x14ac:dyDescent="0.2">
      <c r="A637" s="364">
        <v>35260</v>
      </c>
      <c r="C637" s="363">
        <f>HLOOKUP("start",ESLData!E$1:E$9955,MATCH($A637,ESLData!$B$1:$B$9955,0))</f>
        <v>0</v>
      </c>
      <c r="E637" s="363">
        <f>HLOOKUP("start",ESLData!F$1:F$9955,MATCH($A637,ESLData!$B$1:$B$9955,0))</f>
        <v>0</v>
      </c>
      <c r="G637" s="363">
        <f>HLOOKUP("start",ESLData!H$1:H$9955,MATCH($A637,ESLData!$B$1:$B$9955,0))</f>
        <v>0</v>
      </c>
      <c r="J637" s="382" t="s">
        <v>1304</v>
      </c>
      <c r="K637" s="368" t="str">
        <f>IF(ISNA(HLOOKUP("start",ESLData!C$1:C$9955,MATCH($A637,ESLData!$B$1:$B$9955,0))),"",HLOOKUP("start",ESLData!C$1:C$9955,MATCH($A637,ESLData!$B$1:$B$9955,0)))</f>
        <v>Vehicle Maintenance</v>
      </c>
    </row>
    <row r="638" spans="1:11" s="368" customFormat="1" ht="14.25" customHeight="1" x14ac:dyDescent="0.2">
      <c r="A638" s="364">
        <v>35310</v>
      </c>
      <c r="C638" s="363">
        <f>HLOOKUP("start",ESLData!E$1:E$9955,MATCH($A638,ESLData!$B$1:$B$9955,0))</f>
        <v>0</v>
      </c>
      <c r="E638" s="363">
        <f>HLOOKUP("start",ESLData!F$1:F$9955,MATCH($A638,ESLData!$B$1:$B$9955,0))</f>
        <v>0</v>
      </c>
      <c r="G638" s="363">
        <f>HLOOKUP("start",ESLData!H$1:H$9955,MATCH($A638,ESLData!$B$1:$B$9955,0))</f>
        <v>0</v>
      </c>
      <c r="J638" s="382" t="s">
        <v>1304</v>
      </c>
      <c r="K638" s="368" t="str">
        <f>IF(ISNA(HLOOKUP("start",ESLData!C$1:C$9955,MATCH($A638,ESLData!$B$1:$B$9955,0))),"",HLOOKUP("start",ESLData!C$1:C$9955,MATCH($A638,ESLData!$B$1:$B$9955,0)))</f>
        <v>Vehicle Insurance</v>
      </c>
    </row>
    <row r="639" spans="1:11" s="368" customFormat="1" ht="14.25" customHeight="1" x14ac:dyDescent="0.2">
      <c r="A639" s="364">
        <v>35315</v>
      </c>
      <c r="C639" s="363">
        <f>HLOOKUP("start",ESLData!E$1:E$9955,MATCH($A639,ESLData!$B$1:$B$9955,0))</f>
        <v>0</v>
      </c>
      <c r="E639" s="363">
        <f>HLOOKUP("start",ESLData!F$1:F$9955,MATCH($A639,ESLData!$B$1:$B$9955,0))</f>
        <v>0</v>
      </c>
      <c r="G639" s="363">
        <f>HLOOKUP("start",ESLData!H$1:H$9955,MATCH($A639,ESLData!$B$1:$B$9955,0))</f>
        <v>28.5</v>
      </c>
      <c r="J639" s="382" t="s">
        <v>1304</v>
      </c>
      <c r="K639" s="368" t="str">
        <f>IF(ISNA(HLOOKUP("start",ESLData!C$1:C$9955,MATCH($A639,ESLData!$B$1:$B$9955,0))),"",HLOOKUP("start",ESLData!C$1:C$9955,MATCH($A639,ESLData!$B$1:$B$9955,0)))</f>
        <v>Vehicle R&amp;M</v>
      </c>
    </row>
    <row r="640" spans="1:11" s="368" customFormat="1" ht="14.25" customHeight="1" x14ac:dyDescent="0.2">
      <c r="A640" s="364">
        <v>35610</v>
      </c>
      <c r="C640" s="363">
        <f>HLOOKUP("start",ESLData!E$1:E$9955,MATCH($A640,ESLData!$B$1:$B$9955,0))</f>
        <v>0</v>
      </c>
      <c r="E640" s="363">
        <f>HLOOKUP("start",ESLData!F$1:F$9955,MATCH($A640,ESLData!$B$1:$B$9955,0))</f>
        <v>0</v>
      </c>
      <c r="G640" s="363">
        <f>HLOOKUP("start",ESLData!H$1:H$9955,MATCH($A640,ESLData!$B$1:$B$9955,0))</f>
        <v>0</v>
      </c>
      <c r="J640" s="382" t="s">
        <v>1304</v>
      </c>
      <c r="K640" s="368" t="str">
        <f>IF(ISNA(HLOOKUP("start",ESLData!C$1:C$9955,MATCH($A640,ESLData!$B$1:$B$9955,0))),"",HLOOKUP("start",ESLData!C$1:C$9955,MATCH($A640,ESLData!$B$1:$B$9955,0)))</f>
        <v>Vehicle Insurance</v>
      </c>
    </row>
    <row r="641" spans="1:11" s="368" customFormat="1" ht="14.25" customHeight="1" x14ac:dyDescent="0.2">
      <c r="A641" s="364">
        <v>35615</v>
      </c>
      <c r="C641" s="363">
        <f>HLOOKUP("start",ESLData!E$1:E$9955,MATCH($A641,ESLData!$B$1:$B$9955,0))</f>
        <v>0</v>
      </c>
      <c r="E641" s="363">
        <f>HLOOKUP("start",ESLData!F$1:F$9955,MATCH($A641,ESLData!$B$1:$B$9955,0))</f>
        <v>0</v>
      </c>
      <c r="G641" s="363">
        <f>HLOOKUP("start",ESLData!H$1:H$9955,MATCH($A641,ESLData!$B$1:$B$9955,0))</f>
        <v>0</v>
      </c>
      <c r="J641" s="382" t="s">
        <v>1304</v>
      </c>
      <c r="K641" s="368" t="str">
        <f>IF(ISNA(HLOOKUP("start",ESLData!C$1:C$9955,MATCH($A641,ESLData!$B$1:$B$9955,0))),"",HLOOKUP("start",ESLData!C$1:C$9955,MATCH($A641,ESLData!$B$1:$B$9955,0)))</f>
        <v>Vehicle Maintenance</v>
      </c>
    </row>
    <row r="642" spans="1:11" s="368" customFormat="1" ht="14.25" customHeight="1" x14ac:dyDescent="0.2">
      <c r="A642" s="364">
        <v>39003</v>
      </c>
      <c r="C642" s="363">
        <f>HLOOKUP("start",ESLData!E$1:E$9955,MATCH($A642,ESLData!$B$1:$B$9955,0))</f>
        <v>0</v>
      </c>
      <c r="E642" s="363">
        <f>HLOOKUP("start",ESLData!F$1:F$9955,MATCH($A642,ESLData!$B$1:$B$9955,0))</f>
        <v>0</v>
      </c>
      <c r="G642" s="363">
        <f>HLOOKUP("start",ESLData!H$1:H$9955,MATCH($A642,ESLData!$B$1:$B$9955,0))</f>
        <v>0</v>
      </c>
      <c r="J642" s="382" t="s">
        <v>1304</v>
      </c>
      <c r="K642" s="368" t="str">
        <f>IF(ISNA(HLOOKUP("start",ESLData!C$1:C$9955,MATCH($A642,ESLData!$B$1:$B$9955,0))),"",HLOOKUP("start",ESLData!C$1:C$9955,MATCH($A642,ESLData!$B$1:$B$9955,0)))</f>
        <v>Vehicle Insurance</v>
      </c>
    </row>
    <row r="643" spans="1:11" s="368" customFormat="1" ht="14.25" customHeight="1" x14ac:dyDescent="0.2">
      <c r="A643" s="364">
        <v>39004</v>
      </c>
      <c r="C643" s="363">
        <f>HLOOKUP("start",ESLData!E$1:E$9955,MATCH($A643,ESLData!$B$1:$B$9955,0))</f>
        <v>0</v>
      </c>
      <c r="E643" s="363">
        <f>HLOOKUP("start",ESLData!F$1:F$9955,MATCH($A643,ESLData!$B$1:$B$9955,0))</f>
        <v>0</v>
      </c>
      <c r="G643" s="363">
        <f>HLOOKUP("start",ESLData!H$1:H$9955,MATCH($A643,ESLData!$B$1:$B$9955,0))</f>
        <v>280.32</v>
      </c>
      <c r="J643" s="382" t="s">
        <v>1304</v>
      </c>
      <c r="K643" s="368" t="str">
        <f>IF(ISNA(HLOOKUP("start",ESLData!C$1:C$9955,MATCH($A643,ESLData!$B$1:$B$9955,0))),"",HLOOKUP("start",ESLData!C$1:C$9955,MATCH($A643,ESLData!$B$1:$B$9955,0)))</f>
        <v>Vehicle Maintenance</v>
      </c>
    </row>
    <row r="644" spans="1:11" s="368" customFormat="1" ht="14.25" customHeight="1" x14ac:dyDescent="0.2">
      <c r="A644" s="364">
        <v>39053</v>
      </c>
      <c r="C644" s="363">
        <f>HLOOKUP("start",ESLData!E$1:E$9955,MATCH($A644,ESLData!$B$1:$B$9955,0))</f>
        <v>0</v>
      </c>
      <c r="E644" s="363">
        <f>HLOOKUP("start",ESLData!F$1:F$9955,MATCH($A644,ESLData!$B$1:$B$9955,0))</f>
        <v>0</v>
      </c>
      <c r="G644" s="363">
        <f>HLOOKUP("start",ESLData!H$1:H$9955,MATCH($A644,ESLData!$B$1:$B$9955,0))</f>
        <v>0</v>
      </c>
      <c r="J644" s="382" t="s">
        <v>1304</v>
      </c>
      <c r="K644" s="368" t="str">
        <f>IF(ISNA(HLOOKUP("start",ESLData!C$1:C$9955,MATCH($A644,ESLData!$B$1:$B$9955,0))),"",HLOOKUP("start",ESLData!C$1:C$9955,MATCH($A644,ESLData!$B$1:$B$9955,0)))</f>
        <v>Vehicle Insurance</v>
      </c>
    </row>
    <row r="645" spans="1:11" s="368" customFormat="1" ht="14.25" customHeight="1" x14ac:dyDescent="0.2">
      <c r="A645" s="364">
        <v>39054</v>
      </c>
      <c r="C645" s="363">
        <f>HLOOKUP("start",ESLData!E$1:E$9955,MATCH($A645,ESLData!$B$1:$B$9955,0))</f>
        <v>0</v>
      </c>
      <c r="E645" s="363">
        <f>HLOOKUP("start",ESLData!F$1:F$9955,MATCH($A645,ESLData!$B$1:$B$9955,0))</f>
        <v>0</v>
      </c>
      <c r="G645" s="363">
        <f>HLOOKUP("start",ESLData!H$1:H$9955,MATCH($A645,ESLData!$B$1:$B$9955,0))</f>
        <v>160.87</v>
      </c>
      <c r="J645" s="382" t="s">
        <v>1304</v>
      </c>
      <c r="K645" s="368" t="str">
        <f>IF(ISNA(HLOOKUP("start",ESLData!C$1:C$9955,MATCH($A645,ESLData!$B$1:$B$9955,0))),"",HLOOKUP("start",ESLData!C$1:C$9955,MATCH($A645,ESLData!$B$1:$B$9955,0)))</f>
        <v>Vehicle Maintenance</v>
      </c>
    </row>
    <row r="646" spans="1:11" s="368" customFormat="1" ht="14.25" customHeight="1" x14ac:dyDescent="0.2">
      <c r="A646" s="364">
        <v>39103</v>
      </c>
      <c r="C646" s="363">
        <f>HLOOKUP("start",ESLData!E$1:E$9955,MATCH($A646,ESLData!$B$1:$B$9955,0))</f>
        <v>0</v>
      </c>
      <c r="E646" s="363">
        <f>HLOOKUP("start",ESLData!F$1:F$9955,MATCH($A646,ESLData!$B$1:$B$9955,0))</f>
        <v>0</v>
      </c>
      <c r="G646" s="363">
        <f>HLOOKUP("start",ESLData!H$1:H$9955,MATCH($A646,ESLData!$B$1:$B$9955,0))</f>
        <v>0</v>
      </c>
      <c r="J646" s="382" t="s">
        <v>1304</v>
      </c>
      <c r="K646" s="368" t="str">
        <f>IF(ISNA(HLOOKUP("start",ESLData!C$1:C$9955,MATCH($A646,ESLData!$B$1:$B$9955,0))),"",HLOOKUP("start",ESLData!C$1:C$9955,MATCH($A646,ESLData!$B$1:$B$9955,0)))</f>
        <v>Vehicle Insurance</v>
      </c>
    </row>
    <row r="647" spans="1:11" s="368" customFormat="1" ht="14.25" customHeight="1" x14ac:dyDescent="0.2">
      <c r="A647" s="364">
        <v>39153</v>
      </c>
      <c r="C647" s="363">
        <f>HLOOKUP("start",ESLData!E$1:E$9955,MATCH($A647,ESLData!$B$1:$B$9955,0))</f>
        <v>0</v>
      </c>
      <c r="E647" s="363">
        <f>HLOOKUP("start",ESLData!F$1:F$9955,MATCH($A647,ESLData!$B$1:$B$9955,0))</f>
        <v>0</v>
      </c>
      <c r="G647" s="363">
        <f>HLOOKUP("start",ESLData!H$1:H$9955,MATCH($A647,ESLData!$B$1:$B$9955,0))</f>
        <v>0</v>
      </c>
      <c r="J647" s="382" t="s">
        <v>1304</v>
      </c>
      <c r="K647" s="368" t="str">
        <f>IF(ISNA(HLOOKUP("start",ESLData!C$1:C$9955,MATCH($A647,ESLData!$B$1:$B$9955,0))),"",HLOOKUP("start",ESLData!C$1:C$9955,MATCH($A647,ESLData!$B$1:$B$9955,0)))</f>
        <v>Vehicle Insurance</v>
      </c>
    </row>
    <row r="648" spans="1:11" s="368" customFormat="1" ht="14.25" customHeight="1" x14ac:dyDescent="0.2">
      <c r="A648" s="364">
        <v>39154</v>
      </c>
      <c r="C648" s="363">
        <f>HLOOKUP("start",ESLData!E$1:E$9955,MATCH($A648,ESLData!$B$1:$B$9955,0))</f>
        <v>0</v>
      </c>
      <c r="E648" s="363">
        <f>HLOOKUP("start",ESLData!F$1:F$9955,MATCH($A648,ESLData!$B$1:$B$9955,0))</f>
        <v>0</v>
      </c>
      <c r="G648" s="363">
        <f>HLOOKUP("start",ESLData!H$1:H$9955,MATCH($A648,ESLData!$B$1:$B$9955,0))</f>
        <v>0</v>
      </c>
      <c r="J648" s="382" t="s">
        <v>1304</v>
      </c>
      <c r="K648" s="368" t="str">
        <f>IF(ISNA(HLOOKUP("start",ESLData!C$1:C$9955,MATCH($A648,ESLData!$B$1:$B$9955,0))),"",HLOOKUP("start",ESLData!C$1:C$9955,MATCH($A648,ESLData!$B$1:$B$9955,0)))</f>
        <v>Vehicle Maintenance</v>
      </c>
    </row>
    <row r="649" spans="1:11" s="368" customFormat="1" ht="14.25" customHeight="1" x14ac:dyDescent="0.2">
      <c r="A649" s="364">
        <v>39253</v>
      </c>
      <c r="C649" s="363">
        <f>HLOOKUP("start",ESLData!E$1:E$9955,MATCH($A649,ESLData!$B$1:$B$9955,0))</f>
        <v>0</v>
      </c>
      <c r="E649" s="363">
        <f>HLOOKUP("start",ESLData!F$1:F$9955,MATCH($A649,ESLData!$B$1:$B$9955,0))</f>
        <v>0</v>
      </c>
      <c r="G649" s="363">
        <f>HLOOKUP("start",ESLData!H$1:H$9955,MATCH($A649,ESLData!$B$1:$B$9955,0))</f>
        <v>0</v>
      </c>
      <c r="J649" s="382" t="s">
        <v>1304</v>
      </c>
      <c r="K649" s="368" t="str">
        <f>IF(ISNA(HLOOKUP("start",ESLData!C$1:C$9955,MATCH($A649,ESLData!$B$1:$B$9955,0))),"",HLOOKUP("start",ESLData!C$1:C$9955,MATCH($A649,ESLData!$B$1:$B$9955,0)))</f>
        <v>Vehicle Insurance</v>
      </c>
    </row>
    <row r="650" spans="1:11" s="368" customFormat="1" ht="14.25" customHeight="1" x14ac:dyDescent="0.2">
      <c r="A650" s="364">
        <v>39254</v>
      </c>
      <c r="C650" s="363">
        <f>HLOOKUP("start",ESLData!E$1:E$9955,MATCH($A650,ESLData!$B$1:$B$9955,0))</f>
        <v>0</v>
      </c>
      <c r="E650" s="363">
        <f>HLOOKUP("start",ESLData!F$1:F$9955,MATCH($A650,ESLData!$B$1:$B$9955,0))</f>
        <v>0</v>
      </c>
      <c r="G650" s="363">
        <f>HLOOKUP("start",ESLData!H$1:H$9955,MATCH($A650,ESLData!$B$1:$B$9955,0))</f>
        <v>0</v>
      </c>
      <c r="J650" s="382" t="s">
        <v>1304</v>
      </c>
      <c r="K650" s="368" t="str">
        <f>IF(ISNA(HLOOKUP("start",ESLData!C$1:C$9955,MATCH($A650,ESLData!$B$1:$B$9955,0))),"",HLOOKUP("start",ESLData!C$1:C$9955,MATCH($A650,ESLData!$B$1:$B$9955,0)))</f>
        <v>Vehicle Maintenance</v>
      </c>
    </row>
    <row r="651" spans="1:11" s="368" customFormat="1" ht="14.25" customHeight="1" x14ac:dyDescent="0.2">
      <c r="A651" s="364">
        <v>39303</v>
      </c>
      <c r="C651" s="363">
        <f>HLOOKUP("start",ESLData!E$1:E$9955,MATCH($A651,ESLData!$B$1:$B$9955,0))</f>
        <v>0</v>
      </c>
      <c r="E651" s="363">
        <f>HLOOKUP("start",ESLData!F$1:F$9955,MATCH($A651,ESLData!$B$1:$B$9955,0))</f>
        <v>0</v>
      </c>
      <c r="G651" s="363">
        <f>HLOOKUP("start",ESLData!H$1:H$9955,MATCH($A651,ESLData!$B$1:$B$9955,0))</f>
        <v>0</v>
      </c>
      <c r="J651" s="382" t="s">
        <v>1304</v>
      </c>
      <c r="K651" s="368" t="str">
        <f>IF(ISNA(HLOOKUP("start",ESLData!C$1:C$9955,MATCH($A651,ESLData!$B$1:$B$9955,0))),"",HLOOKUP("start",ESLData!C$1:C$9955,MATCH($A651,ESLData!$B$1:$B$9955,0)))</f>
        <v>Vehicle Insurance</v>
      </c>
    </row>
    <row r="652" spans="1:11" s="368" customFormat="1" ht="14.25" customHeight="1" x14ac:dyDescent="0.2">
      <c r="A652" s="364">
        <v>39304</v>
      </c>
      <c r="C652" s="363">
        <f>HLOOKUP("start",ESLData!E$1:E$9955,MATCH($A652,ESLData!$B$1:$B$9955,0))</f>
        <v>0</v>
      </c>
      <c r="E652" s="363">
        <f>HLOOKUP("start",ESLData!F$1:F$9955,MATCH($A652,ESLData!$B$1:$B$9955,0))</f>
        <v>0</v>
      </c>
      <c r="G652" s="363">
        <f>HLOOKUP("start",ESLData!H$1:H$9955,MATCH($A652,ESLData!$B$1:$B$9955,0))</f>
        <v>0</v>
      </c>
      <c r="J652" s="382" t="s">
        <v>1304</v>
      </c>
      <c r="K652" s="368" t="str">
        <f>IF(ISNA(HLOOKUP("start",ESLData!C$1:C$9955,MATCH($A652,ESLData!$B$1:$B$9955,0))),"",HLOOKUP("start",ESLData!C$1:C$9955,MATCH($A652,ESLData!$B$1:$B$9955,0)))</f>
        <v>Vehicle Maintenance</v>
      </c>
    </row>
    <row r="653" spans="1:11" ht="14.25" customHeight="1" x14ac:dyDescent="0.2">
      <c r="A653" s="364">
        <v>39353</v>
      </c>
      <c r="C653" s="363">
        <f>HLOOKUP("start",ESLData!E$1:E$9955,MATCH($A653,ESLData!$B$1:$B$9955,0))</f>
        <v>0</v>
      </c>
      <c r="E653" s="363">
        <f>HLOOKUP("start",ESLData!F$1:F$9955,MATCH($A653,ESLData!$B$1:$B$9955,0))</f>
        <v>0</v>
      </c>
      <c r="G653" s="363">
        <f>HLOOKUP("start",ESLData!H$1:H$9955,MATCH($A653,ESLData!$B$1:$B$9955,0))</f>
        <v>0</v>
      </c>
      <c r="J653" s="382" t="s">
        <v>1304</v>
      </c>
      <c r="K653" s="368" t="str">
        <f>IF(ISNA(HLOOKUP("start",ESLData!C$1:C$9955,MATCH($A653,ESLData!$B$1:$B$9955,0))),"",HLOOKUP("start",ESLData!C$1:C$9955,MATCH($A653,ESLData!$B$1:$B$9955,0)))</f>
        <v>Vehicle Insurance</v>
      </c>
    </row>
    <row r="654" spans="1:11" ht="14.25" customHeight="1" x14ac:dyDescent="0.2">
      <c r="A654" s="364">
        <v>39354</v>
      </c>
      <c r="C654" s="363">
        <f>HLOOKUP("start",ESLData!E$1:E$9955,MATCH($A654,ESLData!$B$1:$B$9955,0))</f>
        <v>100</v>
      </c>
      <c r="E654" s="363">
        <f>HLOOKUP("start",ESLData!F$1:F$9955,MATCH($A654,ESLData!$B$1:$B$9955,0))</f>
        <v>0</v>
      </c>
      <c r="G654" s="363">
        <f>HLOOKUP("start",ESLData!H$1:H$9955,MATCH($A654,ESLData!$B$1:$B$9955,0))</f>
        <v>0</v>
      </c>
      <c r="J654" s="382" t="s">
        <v>1304</v>
      </c>
      <c r="K654" s="368" t="str">
        <f>IF(ISNA(HLOOKUP("start",ESLData!C$1:C$9955,MATCH($A654,ESLData!$B$1:$B$9955,0))),"",HLOOKUP("start",ESLData!C$1:C$9955,MATCH($A654,ESLData!$B$1:$B$9955,0)))</f>
        <v>Vehicle Maintenance</v>
      </c>
    </row>
    <row r="655" spans="1:11" ht="14.25" customHeight="1" x14ac:dyDescent="0.2">
      <c r="A655" s="364">
        <v>39410</v>
      </c>
      <c r="C655" s="363">
        <f>HLOOKUP("start",ESLData!E$1:E$9955,MATCH($A655,ESLData!$B$1:$B$9955,0))</f>
        <v>0</v>
      </c>
      <c r="E655" s="363">
        <f>HLOOKUP("start",ESLData!F$1:F$9955,MATCH($A655,ESLData!$B$1:$B$9955,0))</f>
        <v>0</v>
      </c>
      <c r="G655" s="363">
        <f>HLOOKUP("start",ESLData!H$1:H$9955,MATCH($A655,ESLData!$B$1:$B$9955,0))</f>
        <v>0</v>
      </c>
      <c r="J655" s="382" t="s">
        <v>1304</v>
      </c>
      <c r="K655" s="368" t="str">
        <f>IF(ISNA(HLOOKUP("start",ESLData!C$1:C$9955,MATCH($A655,ESLData!$B$1:$B$9955,0))),"",HLOOKUP("start",ESLData!C$1:C$9955,MATCH($A655,ESLData!$B$1:$B$9955,0)))</f>
        <v>Vehicle Insurance</v>
      </c>
    </row>
    <row r="656" spans="1:11" ht="14.25" customHeight="1" x14ac:dyDescent="0.2">
      <c r="A656" s="364">
        <v>39415</v>
      </c>
      <c r="C656" s="363">
        <f>HLOOKUP("start",ESLData!E$1:E$9955,MATCH($A656,ESLData!$B$1:$B$9955,0))</f>
        <v>0</v>
      </c>
      <c r="D656" s="369"/>
      <c r="E656" s="363">
        <f>HLOOKUP("start",ESLData!F$1:F$9955,MATCH($A656,ESLData!$B$1:$B$9955,0))</f>
        <v>0</v>
      </c>
      <c r="F656" s="369"/>
      <c r="G656" s="363">
        <f>HLOOKUP("start",ESLData!H$1:H$9955,MATCH($A656,ESLData!$B$1:$B$9955,0))</f>
        <v>0</v>
      </c>
      <c r="H656" s="369"/>
      <c r="J656" s="382" t="s">
        <v>1304</v>
      </c>
      <c r="K656" s="368" t="str">
        <f>IF(ISNA(HLOOKUP("start",ESLData!C$1:C$9955,MATCH($A656,ESLData!$B$1:$B$9955,0))),"",HLOOKUP("start",ESLData!C$1:C$9955,MATCH($A656,ESLData!$B$1:$B$9955,0)))</f>
        <v>Vehicle Maintenance</v>
      </c>
    </row>
    <row r="657" spans="1:11" ht="14.25" customHeight="1" x14ac:dyDescent="0.2">
      <c r="A657" s="364">
        <v>60220</v>
      </c>
      <c r="C657" s="363">
        <f>HLOOKUP("start",ESLData!E$1:E$9955,MATCH($A657,ESLData!$B$1:$B$9955,0))</f>
        <v>0</v>
      </c>
      <c r="E657" s="363">
        <f>HLOOKUP("start",ESLData!F$1:F$9955,MATCH($A657,ESLData!$B$1:$B$9955,0))</f>
        <v>0</v>
      </c>
      <c r="G657" s="363">
        <f>HLOOKUP("start",ESLData!H$1:H$9955,MATCH($A657,ESLData!$B$1:$B$9955,0))</f>
        <v>0</v>
      </c>
      <c r="J657" s="382" t="s">
        <v>1304</v>
      </c>
      <c r="K657" s="368" t="str">
        <f>IF(ISNA(HLOOKUP("start",ESLData!C$1:C$9955,MATCH($A657,ESLData!$B$1:$B$9955,0))),"",HLOOKUP("start",ESLData!C$1:C$9955,MATCH($A657,ESLData!$B$1:$B$9955,0)))</f>
        <v>Regional ORS Res Development</v>
      </c>
    </row>
    <row r="658" spans="1:11" ht="14.25" customHeight="1" x14ac:dyDescent="0.2">
      <c r="A658" s="364">
        <v>60865</v>
      </c>
      <c r="C658" s="363">
        <f>HLOOKUP("start",ESLData!E$1:E$9955,MATCH($A658,ESLData!$B$1:$B$9955,0))</f>
        <v>0</v>
      </c>
      <c r="E658" s="363">
        <f>HLOOKUP("start",ESLData!F$1:F$9955,MATCH($A658,ESLData!$B$1:$B$9955,0))</f>
        <v>0</v>
      </c>
      <c r="G658" s="363">
        <f>HLOOKUP("start",ESLData!H$1:H$9955,MATCH($A658,ESLData!$B$1:$B$9955,0))</f>
        <v>187.39</v>
      </c>
      <c r="J658" s="382" t="s">
        <v>1304</v>
      </c>
      <c r="K658" s="368" t="str">
        <f>IF(ISNA(HLOOKUP("start",ESLData!C$1:C$9955,MATCH($A658,ESLData!$B$1:$B$9955,0))),"",HLOOKUP("start",ESLData!C$1:C$9955,MATCH($A658,ESLData!$B$1:$B$9955,0)))</f>
        <v>Communication Strategy</v>
      </c>
    </row>
    <row r="659" spans="1:11" ht="14.25" customHeight="1" x14ac:dyDescent="0.2">
      <c r="A659" s="364">
        <v>60875</v>
      </c>
      <c r="C659" s="363">
        <f>HLOOKUP("start",ESLData!E$1:E$9955,MATCH($A659,ESLData!$B$1:$B$9955,0))</f>
        <v>0</v>
      </c>
      <c r="E659" s="363">
        <f>HLOOKUP("start",ESLData!F$1:F$9955,MATCH($A659,ESLData!$B$1:$B$9955,0))</f>
        <v>0</v>
      </c>
      <c r="G659" s="363">
        <f>HLOOKUP("start",ESLData!H$1:H$9955,MATCH($A659,ESLData!$B$1:$B$9955,0))</f>
        <v>0</v>
      </c>
      <c r="J659" s="382" t="s">
        <v>1304</v>
      </c>
      <c r="K659" s="368" t="str">
        <f>IF(ISNA(HLOOKUP("start",ESLData!C$1:C$9955,MATCH($A659,ESLData!$B$1:$B$9955,0))),"",HLOOKUP("start",ESLData!C$1:C$9955,MATCH($A659,ESLData!$B$1:$B$9955,0)))</f>
        <v>Set Up Costs</v>
      </c>
    </row>
    <row r="660" spans="1:11" ht="14.25" customHeight="1" x14ac:dyDescent="0.2">
      <c r="A660" s="364">
        <v>35273</v>
      </c>
      <c r="C660" s="363">
        <f>HLOOKUP("start",ESLData!E$1:E$9955,MATCH($A660,ESLData!$B$1:$B$9955,0))</f>
        <v>0</v>
      </c>
      <c r="E660" s="363">
        <f>HLOOKUP("start",ESLData!F$1:F$9955,MATCH($A660,ESLData!$B$1:$B$9955,0))</f>
        <v>0</v>
      </c>
      <c r="G660" s="363">
        <f>HLOOKUP("start",ESLData!H$1:H$9955,MATCH($A660,ESLData!$B$1:$B$9955,0))</f>
        <v>0</v>
      </c>
      <c r="J660" s="382" t="s">
        <v>1304</v>
      </c>
      <c r="K660" s="368" t="str">
        <f>IF(ISNA(HLOOKUP("start",ESLData!C$1:C$9955,MATCH($A660,ESLData!$B$1:$B$9955,0))),"",HLOOKUP("start",ESLData!C$1:C$9955,MATCH($A660,ESLData!$B$1:$B$9955,0)))</f>
        <v>Consumables</v>
      </c>
    </row>
    <row r="661" spans="1:11" ht="14.25" customHeight="1" x14ac:dyDescent="0.2">
      <c r="A661" s="364">
        <v>35156</v>
      </c>
      <c r="C661" s="363">
        <f>HLOOKUP("start",ESLData!E$1:E$9955,MATCH($A661,ESLData!$B$1:$B$9955,0))</f>
        <v>0</v>
      </c>
      <c r="E661" s="363">
        <f>HLOOKUP("start",ESLData!F$1:F$9955,MATCH($A661,ESLData!$B$1:$B$9955,0))</f>
        <v>0</v>
      </c>
      <c r="G661" s="363">
        <f>HLOOKUP("start",ESLData!H$1:H$9955,MATCH($A661,ESLData!$B$1:$B$9955,0))</f>
        <v>0</v>
      </c>
      <c r="J661" s="382" t="s">
        <v>1304</v>
      </c>
      <c r="K661" s="368" t="str">
        <f>IF(ISNA(HLOOKUP("start",ESLData!C$1:C$9955,MATCH($A661,ESLData!$B$1:$B$9955,0))),"",HLOOKUP("start",ESLData!C$1:C$9955,MATCH($A661,ESLData!$B$1:$B$9955,0)))</f>
        <v>Renovations</v>
      </c>
    </row>
    <row r="662" spans="1:11" ht="14.25" customHeight="1" x14ac:dyDescent="0.2">
      <c r="A662" s="364">
        <v>35170</v>
      </c>
      <c r="C662" s="363">
        <f>HLOOKUP("start",ESLData!E$1:E$9955,MATCH($A662,ESLData!$B$1:$B$9955,0))</f>
        <v>0</v>
      </c>
      <c r="E662" s="363">
        <f>HLOOKUP("start",ESLData!F$1:F$9955,MATCH($A662,ESLData!$B$1:$B$9955,0))</f>
        <v>0</v>
      </c>
      <c r="G662" s="363">
        <f>HLOOKUP("start",ESLData!H$1:H$9955,MATCH($A662,ESLData!$B$1:$B$9955,0))</f>
        <v>0</v>
      </c>
      <c r="J662" s="382" t="s">
        <v>1304</v>
      </c>
      <c r="K662" s="368" t="str">
        <f>IF(ISNA(HLOOKUP("start",ESLData!C$1:C$9955,MATCH($A662,ESLData!$B$1:$B$9955,0))),"",HLOOKUP("start",ESLData!C$1:C$9955,MATCH($A662,ESLData!$B$1:$B$9955,0)))</f>
        <v>VRC Co-ordinators Meetings</v>
      </c>
    </row>
    <row r="663" spans="1:11" ht="14.25" customHeight="1" x14ac:dyDescent="0.2">
      <c r="A663" s="364">
        <v>35189</v>
      </c>
      <c r="C663" s="363">
        <f>HLOOKUP("start",ESLData!E$1:E$9955,MATCH($A663,ESLData!$B$1:$B$9955,0))</f>
        <v>0</v>
      </c>
      <c r="E663" s="363">
        <f>HLOOKUP("start",ESLData!F$1:F$9955,MATCH($A663,ESLData!$B$1:$B$9955,0))</f>
        <v>0</v>
      </c>
      <c r="G663" s="363">
        <f>HLOOKUP("start",ESLData!H$1:H$9955,MATCH($A663,ESLData!$B$1:$B$9955,0))</f>
        <v>0</v>
      </c>
      <c r="J663" s="382" t="s">
        <v>1304</v>
      </c>
      <c r="K663" s="368" t="str">
        <f>IF(ISNA(HLOOKUP("start",ESLData!C$1:C$9955,MATCH($A663,ESLData!$B$1:$B$9955,0))),"",HLOOKUP("start",ESLData!C$1:C$9955,MATCH($A663,ESLData!$B$1:$B$9955,0)))</f>
        <v>Building Move Cost</v>
      </c>
    </row>
    <row r="664" spans="1:11" ht="14.25" customHeight="1" x14ac:dyDescent="0.2">
      <c r="A664" s="364">
        <v>35263</v>
      </c>
      <c r="C664" s="363">
        <f>HLOOKUP("start",ESLData!E$1:E$9955,MATCH($A664,ESLData!$B$1:$B$9955,0))</f>
        <v>0</v>
      </c>
      <c r="E664" s="363">
        <f>HLOOKUP("start",ESLData!F$1:F$9955,MATCH($A664,ESLData!$B$1:$B$9955,0))</f>
        <v>0</v>
      </c>
      <c r="G664" s="363">
        <f>HLOOKUP("start",ESLData!H$1:H$9955,MATCH($A664,ESLData!$B$1:$B$9955,0))</f>
        <v>0</v>
      </c>
      <c r="J664" s="382" t="s">
        <v>1304</v>
      </c>
      <c r="K664" s="368" t="str">
        <f>IF(ISNA(HLOOKUP("start",ESLData!C$1:C$9955,MATCH($A664,ESLData!$B$1:$B$9955,0))),"",HLOOKUP("start",ESLData!C$1:C$9955,MATCH($A664,ESLData!$B$1:$B$9955,0)))</f>
        <v>Equipment Maintenance</v>
      </c>
    </row>
    <row r="665" spans="1:11" ht="14.25" customHeight="1" x14ac:dyDescent="0.2">
      <c r="A665" s="364">
        <v>35265</v>
      </c>
      <c r="C665" s="363">
        <f>HLOOKUP("start",ESLData!E$1:E$9955,MATCH($A665,ESLData!$B$1:$B$9955,0))</f>
        <v>0</v>
      </c>
      <c r="E665" s="363">
        <f>HLOOKUP("start",ESLData!F$1:F$9955,MATCH($A665,ESLData!$B$1:$B$9955,0))</f>
        <v>0</v>
      </c>
      <c r="G665" s="363">
        <f>HLOOKUP("start",ESLData!H$1:H$9955,MATCH($A665,ESLData!$B$1:$B$9955,0))</f>
        <v>0</v>
      </c>
      <c r="J665" s="382" t="s">
        <v>1304</v>
      </c>
      <c r="K665" s="368" t="str">
        <f>IF(ISNA(HLOOKUP("start",ESLData!C$1:C$9955,MATCH($A665,ESLData!$B$1:$B$9955,0))),"",HLOOKUP("start",ESLData!C$1:C$9955,MATCH($A665,ESLData!$B$1:$B$9955,0)))</f>
        <v>Photocopying</v>
      </c>
    </row>
    <row r="666" spans="1:11" ht="14.25" customHeight="1" x14ac:dyDescent="0.2">
      <c r="A666" s="364">
        <v>35270</v>
      </c>
      <c r="C666" s="363">
        <f>HLOOKUP("start",ESLData!E$1:E$9955,MATCH($A666,ESLData!$B$1:$B$9955,0))</f>
        <v>0</v>
      </c>
      <c r="E666" s="363">
        <f>HLOOKUP("start",ESLData!F$1:F$9955,MATCH($A666,ESLData!$B$1:$B$9955,0))</f>
        <v>0</v>
      </c>
      <c r="G666" s="363">
        <f>HLOOKUP("start",ESLData!H$1:H$9955,MATCH($A666,ESLData!$B$1:$B$9955,0))</f>
        <v>0</v>
      </c>
      <c r="J666" s="382" t="s">
        <v>1304</v>
      </c>
      <c r="K666" s="368" t="str">
        <f>IF(ISNA(HLOOKUP("start",ESLData!C$1:C$9955,MATCH($A666,ESLData!$B$1:$B$9955,0))),"",HLOOKUP("start",ESLData!C$1:C$9955,MATCH($A666,ESLData!$B$1:$B$9955,0)))</f>
        <v>Printing/Stationery</v>
      </c>
    </row>
    <row r="667" spans="1:11" ht="14.25" customHeight="1" x14ac:dyDescent="0.2">
      <c r="A667" s="364">
        <v>35275</v>
      </c>
      <c r="C667" s="363">
        <f>HLOOKUP("start",ESLData!E$1:E$9955,MATCH($A667,ESLData!$B$1:$B$9955,0))</f>
        <v>0</v>
      </c>
      <c r="E667" s="363">
        <f>HLOOKUP("start",ESLData!F$1:F$9955,MATCH($A667,ESLData!$B$1:$B$9955,0))</f>
        <v>0</v>
      </c>
      <c r="G667" s="363">
        <f>HLOOKUP("start",ESLData!H$1:H$9955,MATCH($A667,ESLData!$B$1:$B$9955,0))</f>
        <v>0</v>
      </c>
      <c r="J667" s="382" t="s">
        <v>1304</v>
      </c>
      <c r="K667" s="368" t="str">
        <f>IF(ISNA(HLOOKUP("start",ESLData!C$1:C$9955,MATCH($A667,ESLData!$B$1:$B$9955,0))),"",HLOOKUP("start",ESLData!C$1:C$9955,MATCH($A667,ESLData!$B$1:$B$9955,0)))</f>
        <v>Publications</v>
      </c>
    </row>
    <row r="668" spans="1:11" ht="14.25" customHeight="1" x14ac:dyDescent="0.2">
      <c r="A668" s="364">
        <v>35278</v>
      </c>
      <c r="C668" s="363">
        <f>HLOOKUP("start",ESLData!E$1:E$9955,MATCH($A668,ESLData!$B$1:$B$9955,0))</f>
        <v>0</v>
      </c>
      <c r="E668" s="363">
        <f>HLOOKUP("start",ESLData!F$1:F$9955,MATCH($A668,ESLData!$B$1:$B$9955,0))</f>
        <v>0</v>
      </c>
      <c r="G668" s="363">
        <f>HLOOKUP("start",ESLData!H$1:H$9955,MATCH($A668,ESLData!$B$1:$B$9955,0))</f>
        <v>0</v>
      </c>
      <c r="J668" s="382" t="s">
        <v>1304</v>
      </c>
      <c r="K668" s="368" t="str">
        <f>IF(ISNA(HLOOKUP("start",ESLData!C$1:C$9955,MATCH($A668,ESLData!$B$1:$B$9955,0))),"",HLOOKUP("start",ESLData!C$1:C$9955,MATCH($A668,ESLData!$B$1:$B$9955,0)))</f>
        <v>Subs/Membership Fees</v>
      </c>
    </row>
    <row r="669" spans="1:11" ht="14.25" customHeight="1" x14ac:dyDescent="0.2">
      <c r="A669" s="364">
        <v>35280</v>
      </c>
      <c r="C669" s="363">
        <f>HLOOKUP("start",ESLData!E$1:E$9955,MATCH($A669,ESLData!$B$1:$B$9955,0))</f>
        <v>0</v>
      </c>
      <c r="E669" s="363">
        <f>HLOOKUP("start",ESLData!F$1:F$9955,MATCH($A669,ESLData!$B$1:$B$9955,0))</f>
        <v>0</v>
      </c>
      <c r="G669" s="363">
        <f>HLOOKUP("start",ESLData!H$1:H$9955,MATCH($A669,ESLData!$B$1:$B$9955,0))</f>
        <v>0</v>
      </c>
      <c r="J669" s="382" t="s">
        <v>1304</v>
      </c>
      <c r="K669" s="368" t="str">
        <f>IF(ISNA(HLOOKUP("start",ESLData!C$1:C$9955,MATCH($A669,ESLData!$B$1:$B$9955,0))),"",HLOOKUP("start",ESLData!C$1:C$9955,MATCH($A669,ESLData!$B$1:$B$9955,0)))</f>
        <v>Muffin Break Expenses</v>
      </c>
    </row>
    <row r="670" spans="1:11" ht="14.25" customHeight="1" x14ac:dyDescent="0.2">
      <c r="A670" s="364">
        <v>35283</v>
      </c>
      <c r="C670" s="363">
        <f>HLOOKUP("start",ESLData!E$1:E$9955,MATCH($A670,ESLData!$B$1:$B$9955,0))</f>
        <v>0</v>
      </c>
      <c r="E670" s="363">
        <f>HLOOKUP("start",ESLData!F$1:F$9955,MATCH($A670,ESLData!$B$1:$B$9955,0))</f>
        <v>0</v>
      </c>
      <c r="G670" s="363">
        <f>HLOOKUP("start",ESLData!H$1:H$9955,MATCH($A670,ESLData!$B$1:$B$9955,0))</f>
        <v>0</v>
      </c>
      <c r="J670" s="382" t="s">
        <v>1304</v>
      </c>
      <c r="K670" s="368" t="str">
        <f>IF(ISNA(HLOOKUP("start",ESLData!C$1:C$9955,MATCH($A670,ESLData!$B$1:$B$9955,0))),"",HLOOKUP("start",ESLData!C$1:C$9955,MATCH($A670,ESLData!$B$1:$B$9955,0)))</f>
        <v>Resource Production</v>
      </c>
    </row>
    <row r="671" spans="1:11" ht="14.25" customHeight="1" x14ac:dyDescent="0.2">
      <c r="A671" s="364">
        <v>62360</v>
      </c>
      <c r="C671" s="363">
        <f>HLOOKUP("start",ESLData!E$1:E$9955,MATCH($A671,ESLData!$B$1:$B$9955,0))</f>
        <v>0</v>
      </c>
      <c r="E671" s="363">
        <f>HLOOKUP("start",ESLData!F$1:F$9955,MATCH($A671,ESLData!$B$1:$B$9955,0))</f>
        <v>300</v>
      </c>
      <c r="G671" s="363">
        <f>HLOOKUP("start",ESLData!H$1:H$9955,MATCH($A671,ESLData!$B$1:$B$9955,0))</f>
        <v>124.6</v>
      </c>
      <c r="J671" s="382" t="s">
        <v>1304</v>
      </c>
      <c r="K671" s="368" t="str">
        <f>IF(ISNA(HLOOKUP("start",ESLData!C$1:C$9955,MATCH($A671,ESLData!$B$1:$B$9955,0))),"",HLOOKUP("start",ESLData!C$1:C$9955,MATCH($A671,ESLData!$B$1:$B$9955,0)))</f>
        <v>Publications</v>
      </c>
    </row>
    <row r="672" spans="1:11" ht="14.25" customHeight="1" x14ac:dyDescent="0.2">
      <c r="A672" s="364">
        <v>62400</v>
      </c>
      <c r="C672" s="363">
        <f>HLOOKUP("start",ESLData!E$1:E$9955,MATCH($A672,ESLData!$B$1:$B$9955,0))</f>
        <v>0</v>
      </c>
      <c r="E672" s="363">
        <f>HLOOKUP("start",ESLData!F$1:F$9955,MATCH($A672,ESLData!$B$1:$B$9955,0))</f>
        <v>200</v>
      </c>
      <c r="G672" s="363">
        <f>HLOOKUP("start",ESLData!H$1:H$9955,MATCH($A672,ESLData!$B$1:$B$9955,0))</f>
        <v>173.91</v>
      </c>
      <c r="J672" s="382" t="s">
        <v>1304</v>
      </c>
      <c r="K672" s="368" t="str">
        <f>IF(ISNA(HLOOKUP("start",ESLData!C$1:C$9955,MATCH($A672,ESLData!$B$1:$B$9955,0))),"",HLOOKUP("start",ESLData!C$1:C$9955,MATCH($A672,ESLData!$B$1:$B$9955,0)))</f>
        <v>Subs/Membership Fees</v>
      </c>
    </row>
    <row r="673" spans="1:11" ht="14.25" customHeight="1" x14ac:dyDescent="0.2">
      <c r="A673" s="364">
        <v>35345</v>
      </c>
      <c r="C673" s="363">
        <f>HLOOKUP("start",ESLData!E$1:E$9955,MATCH($A673,ESLData!$B$1:$B$9955,0))</f>
        <v>0</v>
      </c>
      <c r="E673" s="363">
        <f>HLOOKUP("start",ESLData!F$1:F$9955,MATCH($A673,ESLData!$B$1:$B$9955,0))</f>
        <v>0</v>
      </c>
      <c r="G673" s="363">
        <f>HLOOKUP("start",ESLData!H$1:H$9955,MATCH($A673,ESLData!$B$1:$B$9955,0))</f>
        <v>0</v>
      </c>
      <c r="J673" s="382" t="s">
        <v>1304</v>
      </c>
      <c r="K673" s="368" t="str">
        <f>IF(ISNA(HLOOKUP("start",ESLData!C$1:C$9955,MATCH($A673,ESLData!$B$1:$B$9955,0))),"",HLOOKUP("start",ESLData!C$1:C$9955,MATCH($A673,ESLData!$B$1:$B$9955,0)))</f>
        <v>Publications</v>
      </c>
    </row>
    <row r="674" spans="1:11" ht="14.25" customHeight="1" x14ac:dyDescent="0.2">
      <c r="A674" s="364">
        <v>35355</v>
      </c>
      <c r="C674" s="363">
        <f>HLOOKUP("start",ESLData!E$1:E$9955,MATCH($A674,ESLData!$B$1:$B$9955,0))</f>
        <v>0</v>
      </c>
      <c r="E674" s="363">
        <f>HLOOKUP("start",ESLData!F$1:F$9955,MATCH($A674,ESLData!$B$1:$B$9955,0))</f>
        <v>0</v>
      </c>
      <c r="G674" s="363">
        <f>HLOOKUP("start",ESLData!H$1:H$9955,MATCH($A674,ESLData!$B$1:$B$9955,0))</f>
        <v>0</v>
      </c>
      <c r="J674" s="382" t="s">
        <v>1304</v>
      </c>
      <c r="K674" s="368" t="str">
        <f>IF(ISNA(HLOOKUP("start",ESLData!C$1:C$9955,MATCH($A674,ESLData!$B$1:$B$9955,0))),"",HLOOKUP("start",ESLData!C$1:C$9955,MATCH($A674,ESLData!$B$1:$B$9955,0)))</f>
        <v>Muffin Break Expenses</v>
      </c>
    </row>
    <row r="675" spans="1:11" ht="14.25" customHeight="1" x14ac:dyDescent="0.2">
      <c r="A675" s="364">
        <v>35365</v>
      </c>
      <c r="C675" s="363">
        <f>HLOOKUP("start",ESLData!E$1:E$9955,MATCH($A675,ESLData!$B$1:$B$9955,0))</f>
        <v>0</v>
      </c>
      <c r="E675" s="363">
        <f>HLOOKUP("start",ESLData!F$1:F$9955,MATCH($A675,ESLData!$B$1:$B$9955,0))</f>
        <v>0</v>
      </c>
      <c r="G675" s="363">
        <f>HLOOKUP("start",ESLData!H$1:H$9955,MATCH($A675,ESLData!$B$1:$B$9955,0))</f>
        <v>0</v>
      </c>
      <c r="J675" s="382" t="s">
        <v>1304</v>
      </c>
      <c r="K675" s="368" t="str">
        <f>IF(ISNA(HLOOKUP("start",ESLData!C$1:C$9955,MATCH($A675,ESLData!$B$1:$B$9955,0))),"",HLOOKUP("start",ESLData!C$1:C$9955,MATCH($A675,ESLData!$B$1:$B$9955,0)))</f>
        <v>Itinerant Music Costs</v>
      </c>
    </row>
    <row r="676" spans="1:11" ht="14.25" customHeight="1" x14ac:dyDescent="0.2">
      <c r="A676" s="364">
        <v>39113</v>
      </c>
      <c r="C676" s="363">
        <f>HLOOKUP("start",ESLData!E$1:E$9955,MATCH($A676,ESLData!$B$1:$B$9955,0))</f>
        <v>0</v>
      </c>
      <c r="E676" s="363">
        <f>HLOOKUP("start",ESLData!F$1:F$9955,MATCH($A676,ESLData!$B$1:$B$9955,0))</f>
        <v>0</v>
      </c>
      <c r="G676" s="363">
        <f>HLOOKUP("start",ESLData!H$1:H$9955,MATCH($A676,ESLData!$B$1:$B$9955,0))</f>
        <v>0</v>
      </c>
      <c r="J676" s="382" t="s">
        <v>1304</v>
      </c>
      <c r="K676" s="368" t="str">
        <f>IF(ISNA(HLOOKUP("start",ESLData!C$1:C$9955,MATCH($A676,ESLData!$B$1:$B$9955,0))),"",HLOOKUP("start",ESLData!C$1:C$9955,MATCH($A676,ESLData!$B$1:$B$9955,0)))</f>
        <v>Sovereign Trust</v>
      </c>
    </row>
    <row r="677" spans="1:11" ht="14.25" customHeight="1" x14ac:dyDescent="0.2">
      <c r="A677" s="364">
        <v>39170</v>
      </c>
      <c r="C677" s="363">
        <f>HLOOKUP("start",ESLData!E$1:E$9955,MATCH($A677,ESLData!$B$1:$B$9955,0))</f>
        <v>0</v>
      </c>
      <c r="E677" s="363">
        <f>HLOOKUP("start",ESLData!F$1:F$9955,MATCH($A677,ESLData!$B$1:$B$9955,0))</f>
        <v>0</v>
      </c>
      <c r="G677" s="363">
        <f>HLOOKUP("start",ESLData!H$1:H$9955,MATCH($A677,ESLData!$B$1:$B$9955,0))</f>
        <v>0</v>
      </c>
      <c r="J677" s="382" t="s">
        <v>1304</v>
      </c>
      <c r="K677" s="368" t="str">
        <f>IF(ISNA(HLOOKUP("start",ESLData!C$1:C$9955,MATCH($A677,ESLData!$B$1:$B$9955,0))),"",HLOOKUP("start",ESLData!C$1:C$9955,MATCH($A677,ESLData!$B$1:$B$9955,0)))</f>
        <v>Music Therapy</v>
      </c>
    </row>
    <row r="678" spans="1:11" ht="14.25" customHeight="1" x14ac:dyDescent="0.2">
      <c r="A678" s="364">
        <v>39460</v>
      </c>
      <c r="C678" s="363">
        <f>HLOOKUP("start",ESLData!E$1:E$9955,MATCH($A678,ESLData!$B$1:$B$9955,0))</f>
        <v>820.86</v>
      </c>
      <c r="D678" s="400">
        <f>ROUND(SUM(C632:C678),0)</f>
        <v>1131</v>
      </c>
      <c r="E678" s="363">
        <f>HLOOKUP("start",ESLData!F$1:F$9955,MATCH($A678,ESLData!$B$1:$B$9955,0))</f>
        <v>800</v>
      </c>
      <c r="F678" s="381">
        <f>ROUND(SUM(E632:E678),0)</f>
        <v>1300</v>
      </c>
      <c r="G678" s="363">
        <f>HLOOKUP("start",ESLData!H$1:H$9955,MATCH($A678,ESLData!$B$1:$B$9955,0))</f>
        <v>425.48</v>
      </c>
      <c r="H678" s="400">
        <f>ROUND(SUM(G632:G678),0)</f>
        <v>1381</v>
      </c>
      <c r="J678" s="382" t="s">
        <v>1304</v>
      </c>
      <c r="K678" s="368" t="str">
        <f>IF(ISNA(HLOOKUP("start",ESLData!C$1:C$9955,MATCH($A678,ESLData!$B$1:$B$9955,0))),"",HLOOKUP("start",ESLData!C$1:C$9955,MATCH($A678,ESLData!$B$1:$B$9955,0)))</f>
        <v>Educational Equipment</v>
      </c>
    </row>
    <row r="679" spans="1:11" ht="14.25" customHeight="1" x14ac:dyDescent="0.2">
      <c r="A679" s="367" t="s">
        <v>601</v>
      </c>
      <c r="C679" s="363"/>
      <c r="E679" s="363"/>
      <c r="G679" s="363"/>
      <c r="J679" s="382" t="s">
        <v>1304</v>
      </c>
      <c r="K679" s="368" t="str">
        <f>IF(ISNA(HLOOKUP("start",ESLData!C$1:C$9955,MATCH($A679,ESLData!$B$1:$B$9955,0))),"",HLOOKUP("start",ESLData!C$1:C$9955,MATCH($A679,ESLData!$B$1:$B$9955,0)))</f>
        <v/>
      </c>
    </row>
    <row r="680" spans="1:11" ht="14.25" customHeight="1" x14ac:dyDescent="0.2">
      <c r="A680" s="364">
        <v>34700</v>
      </c>
      <c r="C680" s="363">
        <f>HLOOKUP("start",ESLData!E$1:E$9955,MATCH($A680,ESLData!$B$1:$B$9955,0))</f>
        <v>4772.41</v>
      </c>
      <c r="E680" s="363">
        <f>HLOOKUP("start",ESLData!F$1:F$9955,MATCH($A680,ESLData!$B$1:$B$9955,0))</f>
        <v>3805</v>
      </c>
      <c r="G680" s="363">
        <f>HLOOKUP("start",ESLData!H$1:H$9955,MATCH($A680,ESLData!$B$1:$B$9955,0))</f>
        <v>4562.67</v>
      </c>
      <c r="J680" s="382" t="s">
        <v>1304</v>
      </c>
      <c r="K680" s="368" t="str">
        <f>IF(ISNA(HLOOKUP("start",ESLData!C$1:C$9955,MATCH($A680,ESLData!$B$1:$B$9955,0))),"",HLOOKUP("start",ESLData!C$1:C$9955,MATCH($A680,ESLData!$B$1:$B$9955,0)))</f>
        <v>Staffing</v>
      </c>
    </row>
    <row r="681" spans="1:11" s="375" customFormat="1" ht="14.25" customHeight="1" x14ac:dyDescent="0.2">
      <c r="A681" s="364">
        <v>38928</v>
      </c>
      <c r="B681" s="368"/>
      <c r="C681" s="363">
        <f>HLOOKUP("start",ESLData!E$1:E$9955,MATCH($A681,ESLData!$B$1:$B$9955,0))</f>
        <v>0</v>
      </c>
      <c r="D681" s="368"/>
      <c r="E681" s="363">
        <f>HLOOKUP("start",ESLData!F$1:F$9955,MATCH($A681,ESLData!$B$1:$B$9955,0))</f>
        <v>0</v>
      </c>
      <c r="F681" s="368"/>
      <c r="G681" s="363">
        <f>HLOOKUP("start",ESLData!H$1:H$9955,MATCH($A681,ESLData!$B$1:$B$9955,0))</f>
        <v>0</v>
      </c>
      <c r="H681" s="368"/>
      <c r="K681" s="368" t="str">
        <f>IF(ISNA(HLOOKUP("start",ESLData!C$1:C$9955,MATCH($A681,ESLData!$B$1:$B$9955,0))),"",HLOOKUP("start",ESLData!C$1:C$9955,MATCH($A681,ESLData!$B$1:$B$9955,0)))</f>
        <v>Contracted Staff - Curriculum</v>
      </c>
    </row>
    <row r="682" spans="1:11" ht="14.25" customHeight="1" x14ac:dyDescent="0.2">
      <c r="A682" s="364">
        <v>35201</v>
      </c>
      <c r="C682" s="363">
        <f>HLOOKUP("start",ESLData!E$1:E$9955,MATCH($A682,ESLData!$B$1:$B$9955,0))</f>
        <v>0</v>
      </c>
      <c r="E682" s="363">
        <f>HLOOKUP("start",ESLData!F$1:F$9955,MATCH($A682,ESLData!$B$1:$B$9955,0))</f>
        <v>0</v>
      </c>
      <c r="G682" s="363">
        <f>HLOOKUP("start",ESLData!H$1:H$9955,MATCH($A682,ESLData!$B$1:$B$9955,0))</f>
        <v>0</v>
      </c>
      <c r="J682" s="382" t="s">
        <v>1304</v>
      </c>
      <c r="K682" s="368" t="str">
        <f>IF(ISNA(HLOOKUP("start",ESLData!C$1:C$9955,MATCH($A682,ESLData!$B$1:$B$9955,0))),"",HLOOKUP("start",ESLData!C$1:C$9955,MATCH($A682,ESLData!$B$1:$B$9955,0)))</f>
        <v>Relieving Teachers</v>
      </c>
    </row>
    <row r="683" spans="1:11" ht="14.25" customHeight="1" x14ac:dyDescent="0.2">
      <c r="A683" s="364">
        <v>35210</v>
      </c>
      <c r="C683" s="363">
        <f>HLOOKUP("start",ESLData!E$1:E$9955,MATCH($A683,ESLData!$B$1:$B$9955,0))</f>
        <v>0</v>
      </c>
      <c r="E683" s="363">
        <f>HLOOKUP("start",ESLData!F$1:F$9955,MATCH($A683,ESLData!$B$1:$B$9955,0))</f>
        <v>0</v>
      </c>
      <c r="G683" s="363">
        <f>HLOOKUP("start",ESLData!H$1:H$9955,MATCH($A683,ESLData!$B$1:$B$9955,0))</f>
        <v>0</v>
      </c>
      <c r="J683" s="382" t="s">
        <v>1304</v>
      </c>
      <c r="K683" s="368" t="str">
        <f>IF(ISNA(HLOOKUP("start",ESLData!C$1:C$9955,MATCH($A683,ESLData!$B$1:$B$9955,0))),"",HLOOKUP("start",ESLData!C$1:C$9955,MATCH($A683,ESLData!$B$1:$B$9955,0)))</f>
        <v>ACC levies</v>
      </c>
    </row>
    <row r="684" spans="1:11" ht="14.25" customHeight="1" x14ac:dyDescent="0.2">
      <c r="A684" s="364">
        <v>35290</v>
      </c>
      <c r="C684" s="363">
        <f>HLOOKUP("start",ESLData!E$1:E$9955,MATCH($A684,ESLData!$B$1:$B$9955,0))</f>
        <v>0</v>
      </c>
      <c r="E684" s="363">
        <f>HLOOKUP("start",ESLData!F$1:F$9955,MATCH($A684,ESLData!$B$1:$B$9955,0))</f>
        <v>0</v>
      </c>
      <c r="G684" s="363">
        <f>HLOOKUP("start",ESLData!H$1:H$9955,MATCH($A684,ESLData!$B$1:$B$9955,0))</f>
        <v>0</v>
      </c>
      <c r="J684" s="382" t="s">
        <v>1304</v>
      </c>
      <c r="K684" s="368" t="str">
        <f>IF(ISNA(HLOOKUP("start",ESLData!C$1:C$9955,MATCH($A684,ESLData!$B$1:$B$9955,0))),"",HLOOKUP("start",ESLData!C$1:C$9955,MATCH($A684,ESLData!$B$1:$B$9955,0)))</f>
        <v>Salaries  Ec</v>
      </c>
    </row>
    <row r="685" spans="1:11" ht="14.25" customHeight="1" x14ac:dyDescent="0.2">
      <c r="A685" s="364">
        <v>35291</v>
      </c>
      <c r="C685" s="363">
        <f>HLOOKUP("start",ESLData!E$1:E$9955,MATCH($A685,ESLData!$B$1:$B$9955,0))</f>
        <v>0</v>
      </c>
      <c r="E685" s="363">
        <f>HLOOKUP("start",ESLData!F$1:F$9955,MATCH($A685,ESLData!$B$1:$B$9955,0))</f>
        <v>0</v>
      </c>
      <c r="G685" s="363">
        <f>HLOOKUP("start",ESLData!H$1:H$9955,MATCH($A685,ESLData!$B$1:$B$9955,0))</f>
        <v>0</v>
      </c>
      <c r="J685" s="382" t="s">
        <v>1304</v>
      </c>
      <c r="K685" s="368" t="str">
        <f>IF(ISNA(HLOOKUP("start",ESLData!C$1:C$9955,MATCH($A685,ESLData!$B$1:$B$9955,0))),"",HLOOKUP("start",ESLData!C$1:C$9955,MATCH($A685,ESLData!$B$1:$B$9955,0)))</f>
        <v>Relieving Teachers</v>
      </c>
    </row>
    <row r="686" spans="1:11" ht="14.25" customHeight="1" x14ac:dyDescent="0.2">
      <c r="A686" s="364">
        <v>35292</v>
      </c>
      <c r="C686" s="363">
        <f>HLOOKUP("start",ESLData!E$1:E$9955,MATCH($A686,ESLData!$B$1:$B$9955,0))</f>
        <v>0</v>
      </c>
      <c r="E686" s="363">
        <f>HLOOKUP("start",ESLData!F$1:F$9955,MATCH($A686,ESLData!$B$1:$B$9955,0))</f>
        <v>0</v>
      </c>
      <c r="G686" s="363">
        <f>HLOOKUP("start",ESLData!H$1:H$9955,MATCH($A686,ESLData!$B$1:$B$9955,0))</f>
        <v>0</v>
      </c>
      <c r="J686" s="382" t="s">
        <v>1304</v>
      </c>
      <c r="K686" s="368" t="str">
        <f>IF(ISNA(HLOOKUP("start",ESLData!C$1:C$9955,MATCH($A686,ESLData!$B$1:$B$9955,0))),"",HLOOKUP("start",ESLData!C$1:C$9955,MATCH($A686,ESLData!$B$1:$B$9955,0)))</f>
        <v>Recruitment</v>
      </c>
    </row>
    <row r="687" spans="1:11" ht="14.25" customHeight="1" x14ac:dyDescent="0.2">
      <c r="A687" s="364">
        <v>35401</v>
      </c>
      <c r="C687" s="363">
        <f>HLOOKUP("start",ESLData!E$1:E$9955,MATCH($A687,ESLData!$B$1:$B$9955,0))</f>
        <v>0</v>
      </c>
      <c r="E687" s="363">
        <f>HLOOKUP("start",ESLData!F$1:F$9955,MATCH($A687,ESLData!$B$1:$B$9955,0))</f>
        <v>0</v>
      </c>
      <c r="G687" s="363">
        <f>HLOOKUP("start",ESLData!H$1:H$9955,MATCH($A687,ESLData!$B$1:$B$9955,0))</f>
        <v>0</v>
      </c>
      <c r="J687" s="382" t="s">
        <v>1304</v>
      </c>
      <c r="K687" s="368" t="str">
        <f>IF(ISNA(HLOOKUP("start",ESLData!C$1:C$9955,MATCH($A687,ESLData!$B$1:$B$9955,0))),"",HLOOKUP("start",ESLData!C$1:C$9955,MATCH($A687,ESLData!$B$1:$B$9955,0)))</f>
        <v>Relieving Teachers</v>
      </c>
    </row>
    <row r="688" spans="1:11" ht="14.25" customHeight="1" x14ac:dyDescent="0.2">
      <c r="A688" s="364">
        <v>35702</v>
      </c>
      <c r="C688" s="363">
        <f>HLOOKUP("start",ESLData!E$1:E$9955,MATCH($A688,ESLData!$B$1:$B$9955,0))</f>
        <v>0</v>
      </c>
      <c r="E688" s="363">
        <f>HLOOKUP("start",ESLData!F$1:F$9955,MATCH($A688,ESLData!$B$1:$B$9955,0))</f>
        <v>0</v>
      </c>
      <c r="G688" s="363">
        <f>HLOOKUP("start",ESLData!H$1:H$9955,MATCH($A688,ESLData!$B$1:$B$9955,0))</f>
        <v>0</v>
      </c>
      <c r="J688" s="382" t="s">
        <v>1304</v>
      </c>
      <c r="K688" s="368" t="str">
        <f>IF(ISNA(HLOOKUP("start",ESLData!C$1:C$9955,MATCH($A688,ESLData!$B$1:$B$9955,0))),"",HLOOKUP("start",ESLData!C$1:C$9955,MATCH($A688,ESLData!$B$1:$B$9955,0)))</f>
        <v>Relieving Teachers</v>
      </c>
    </row>
    <row r="689" spans="1:11" ht="14.25" customHeight="1" x14ac:dyDescent="0.2">
      <c r="A689" s="364">
        <v>38035</v>
      </c>
      <c r="C689" s="363">
        <f>HLOOKUP("start",ESLData!E$1:E$9955,MATCH($A689,ESLData!$B$1:$B$9955,0))</f>
        <v>0</v>
      </c>
      <c r="E689" s="363">
        <f>HLOOKUP("start",ESLData!F$1:F$9955,MATCH($A689,ESLData!$B$1:$B$9955,0))</f>
        <v>0</v>
      </c>
      <c r="G689" s="363">
        <f>HLOOKUP("start",ESLData!H$1:H$9955,MATCH($A689,ESLData!$B$1:$B$9955,0))</f>
        <v>0</v>
      </c>
      <c r="J689" s="382" t="s">
        <v>1304</v>
      </c>
      <c r="K689" s="368" t="str">
        <f>IF(ISNA(HLOOKUP("start",ESLData!C$1:C$9955,MATCH($A689,ESLData!$B$1:$B$9955,0))),"",HLOOKUP("start",ESLData!C$1:C$9955,MATCH($A689,ESLData!$B$1:$B$9955,0)))</f>
        <v>Relieving Teachers</v>
      </c>
    </row>
    <row r="690" spans="1:11" ht="14.25" customHeight="1" x14ac:dyDescent="0.2">
      <c r="A690" s="364">
        <v>39085</v>
      </c>
      <c r="C690" s="363">
        <f>HLOOKUP("start",ESLData!E$1:E$9955,MATCH($A690,ESLData!$B$1:$B$9955,0))</f>
        <v>0</v>
      </c>
      <c r="E690" s="363">
        <f>HLOOKUP("start",ESLData!F$1:F$9955,MATCH($A690,ESLData!$B$1:$B$9955,0))</f>
        <v>0</v>
      </c>
      <c r="G690" s="363">
        <f>HLOOKUP("start",ESLData!H$1:H$9955,MATCH($A690,ESLData!$B$1:$B$9955,0))</f>
        <v>0</v>
      </c>
      <c r="J690" s="382" t="s">
        <v>1304</v>
      </c>
      <c r="K690" s="368" t="str">
        <f>IF(ISNA(HLOOKUP("start",ESLData!C$1:C$9955,MATCH($A690,ESLData!$B$1:$B$9955,0))),"",HLOOKUP("start",ESLData!C$1:C$9955,MATCH($A690,ESLData!$B$1:$B$9955,0)))</f>
        <v>Relieving Teachers</v>
      </c>
    </row>
    <row r="691" spans="1:11" ht="14.25" customHeight="1" x14ac:dyDescent="0.2">
      <c r="A691" s="364">
        <v>39086</v>
      </c>
      <c r="C691" s="363">
        <f>HLOOKUP("start",ESLData!E$1:E$9955,MATCH($A691,ESLData!$B$1:$B$9955,0))</f>
        <v>0</v>
      </c>
      <c r="E691" s="363">
        <f>HLOOKUP("start",ESLData!F$1:F$9955,MATCH($A691,ESLData!$B$1:$B$9955,0))</f>
        <v>0</v>
      </c>
      <c r="G691" s="363">
        <f>HLOOKUP("start",ESLData!H$1:H$9955,MATCH($A691,ESLData!$B$1:$B$9955,0))</f>
        <v>0</v>
      </c>
      <c r="J691" s="382" t="s">
        <v>1304</v>
      </c>
      <c r="K691" s="368" t="str">
        <f>IF(ISNA(HLOOKUP("start",ESLData!C$1:C$9955,MATCH($A691,ESLData!$B$1:$B$9955,0))),"",HLOOKUP("start",ESLData!C$1:C$9955,MATCH($A691,ESLData!$B$1:$B$9955,0)))</f>
        <v>Staff funded from 2009 Surplus</v>
      </c>
    </row>
    <row r="692" spans="1:11" ht="14.25" customHeight="1" x14ac:dyDescent="0.2">
      <c r="A692" s="364">
        <v>39135</v>
      </c>
      <c r="C692" s="363">
        <f>HLOOKUP("start",ESLData!E$1:E$9955,MATCH($A692,ESLData!$B$1:$B$9955,0))</f>
        <v>0</v>
      </c>
      <c r="E692" s="363">
        <f>HLOOKUP("start",ESLData!F$1:F$9955,MATCH($A692,ESLData!$B$1:$B$9955,0))</f>
        <v>0</v>
      </c>
      <c r="G692" s="363">
        <f>HLOOKUP("start",ESLData!H$1:H$9955,MATCH($A692,ESLData!$B$1:$B$9955,0))</f>
        <v>0</v>
      </c>
      <c r="J692" s="382" t="s">
        <v>1304</v>
      </c>
      <c r="K692" s="368" t="str">
        <f>IF(ISNA(HLOOKUP("start",ESLData!C$1:C$9955,MATCH($A692,ESLData!$B$1:$B$9955,0))),"",HLOOKUP("start",ESLData!C$1:C$9955,MATCH($A692,ESLData!$B$1:$B$9955,0)))</f>
        <v>Relieving Teachers</v>
      </c>
    </row>
    <row r="693" spans="1:11" ht="14.25" customHeight="1" x14ac:dyDescent="0.2">
      <c r="A693" s="364">
        <v>39185</v>
      </c>
      <c r="C693" s="363">
        <f>HLOOKUP("start",ESLData!E$1:E$9955,MATCH($A693,ESLData!$B$1:$B$9955,0))</f>
        <v>0</v>
      </c>
      <c r="E693" s="363">
        <f>HLOOKUP("start",ESLData!F$1:F$9955,MATCH($A693,ESLData!$B$1:$B$9955,0))</f>
        <v>0</v>
      </c>
      <c r="G693" s="363">
        <f>HLOOKUP("start",ESLData!H$1:H$9955,MATCH($A693,ESLData!$B$1:$B$9955,0))</f>
        <v>0</v>
      </c>
      <c r="J693" s="382" t="s">
        <v>1304</v>
      </c>
      <c r="K693" s="368" t="str">
        <f>IF(ISNA(HLOOKUP("start",ESLData!C$1:C$9955,MATCH($A693,ESLData!$B$1:$B$9955,0))),"",HLOOKUP("start",ESLData!C$1:C$9955,MATCH($A693,ESLData!$B$1:$B$9955,0)))</f>
        <v>Relieving Teachers</v>
      </c>
    </row>
    <row r="694" spans="1:11" ht="14.25" customHeight="1" x14ac:dyDescent="0.2">
      <c r="A694" s="364">
        <v>39235</v>
      </c>
      <c r="C694" s="363">
        <f>HLOOKUP("start",ESLData!E$1:E$9955,MATCH($A694,ESLData!$B$1:$B$9955,0))</f>
        <v>0</v>
      </c>
      <c r="E694" s="363">
        <f>HLOOKUP("start",ESLData!F$1:F$9955,MATCH($A694,ESLData!$B$1:$B$9955,0))</f>
        <v>0</v>
      </c>
      <c r="G694" s="363">
        <f>HLOOKUP("start",ESLData!H$1:H$9955,MATCH($A694,ESLData!$B$1:$B$9955,0))</f>
        <v>0</v>
      </c>
      <c r="J694" s="382" t="s">
        <v>1304</v>
      </c>
      <c r="K694" s="368" t="str">
        <f>IF(ISNA(HLOOKUP("start",ESLData!C$1:C$9955,MATCH($A694,ESLData!$B$1:$B$9955,0))),"",HLOOKUP("start",ESLData!C$1:C$9955,MATCH($A694,ESLData!$B$1:$B$9955,0)))</f>
        <v>Relieving Teachers</v>
      </c>
    </row>
    <row r="695" spans="1:11" ht="14.25" customHeight="1" x14ac:dyDescent="0.2">
      <c r="A695" s="364">
        <v>39285</v>
      </c>
      <c r="C695" s="363">
        <f>HLOOKUP("start",ESLData!E$1:E$9955,MATCH($A695,ESLData!$B$1:$B$9955,0))</f>
        <v>0</v>
      </c>
      <c r="E695" s="363">
        <f>HLOOKUP("start",ESLData!F$1:F$9955,MATCH($A695,ESLData!$B$1:$B$9955,0))</f>
        <v>0</v>
      </c>
      <c r="G695" s="363">
        <f>HLOOKUP("start",ESLData!H$1:H$9955,MATCH($A695,ESLData!$B$1:$B$9955,0))</f>
        <v>0</v>
      </c>
      <c r="J695" s="382" t="s">
        <v>1304</v>
      </c>
      <c r="K695" s="368" t="str">
        <f>IF(ISNA(HLOOKUP("start",ESLData!C$1:C$9955,MATCH($A695,ESLData!$B$1:$B$9955,0))),"",HLOOKUP("start",ESLData!C$1:C$9955,MATCH($A695,ESLData!$B$1:$B$9955,0)))</f>
        <v>Relieving Teachers</v>
      </c>
    </row>
    <row r="696" spans="1:11" ht="14.25" customHeight="1" x14ac:dyDescent="0.2">
      <c r="A696" s="364">
        <v>39335</v>
      </c>
      <c r="C696" s="363">
        <f>HLOOKUP("start",ESLData!E$1:E$9955,MATCH($A696,ESLData!$B$1:$B$9955,0))</f>
        <v>0</v>
      </c>
      <c r="E696" s="363">
        <f>HLOOKUP("start",ESLData!F$1:F$9955,MATCH($A696,ESLData!$B$1:$B$9955,0))</f>
        <v>0</v>
      </c>
      <c r="G696" s="363">
        <f>HLOOKUP("start",ESLData!H$1:H$9955,MATCH($A696,ESLData!$B$1:$B$9955,0))</f>
        <v>0</v>
      </c>
      <c r="J696" s="382" t="s">
        <v>1304</v>
      </c>
      <c r="K696" s="368" t="str">
        <f>IF(ISNA(HLOOKUP("start",ESLData!C$1:C$9955,MATCH($A696,ESLData!$B$1:$B$9955,0))),"",HLOOKUP("start",ESLData!C$1:C$9955,MATCH($A696,ESLData!$B$1:$B$9955,0)))</f>
        <v>Relieving Teachers</v>
      </c>
    </row>
    <row r="697" spans="1:11" ht="14.25" customHeight="1" x14ac:dyDescent="0.2">
      <c r="A697" s="364">
        <v>39336</v>
      </c>
      <c r="C697" s="363">
        <f>HLOOKUP("start",ESLData!E$1:E$9955,MATCH($A697,ESLData!$B$1:$B$9955,0))</f>
        <v>0</v>
      </c>
      <c r="E697" s="363">
        <f>HLOOKUP("start",ESLData!F$1:F$9955,MATCH($A697,ESLData!$B$1:$B$9955,0))</f>
        <v>0</v>
      </c>
      <c r="G697" s="363">
        <f>HLOOKUP("start",ESLData!H$1:H$9955,MATCH($A697,ESLData!$B$1:$B$9955,0))</f>
        <v>0</v>
      </c>
      <c r="J697" s="382" t="s">
        <v>1304</v>
      </c>
      <c r="K697" s="368" t="str">
        <f>IF(ISNA(HLOOKUP("start",ESLData!C$1:C$9955,MATCH($A697,ESLData!$B$1:$B$9955,0))),"",HLOOKUP("start",ESLData!C$1:C$9955,MATCH($A697,ESLData!$B$1:$B$9955,0)))</f>
        <v>0.2 FTE teacher Time</v>
      </c>
    </row>
    <row r="698" spans="1:11" ht="14.25" customHeight="1" x14ac:dyDescent="0.2">
      <c r="A698" s="364">
        <v>39337</v>
      </c>
      <c r="C698" s="363">
        <f>HLOOKUP("start",ESLData!E$1:E$9955,MATCH($A698,ESLData!$B$1:$B$9955,0))</f>
        <v>360</v>
      </c>
      <c r="E698" s="363">
        <f>HLOOKUP("start",ESLData!F$1:F$9955,MATCH($A698,ESLData!$B$1:$B$9955,0))</f>
        <v>0</v>
      </c>
      <c r="G698" s="363">
        <f>HLOOKUP("start",ESLData!H$1:H$9955,MATCH($A698,ESLData!$B$1:$B$9955,0))</f>
        <v>0</v>
      </c>
      <c r="J698" s="382" t="s">
        <v>1304</v>
      </c>
      <c r="K698" s="368" t="str">
        <f>IF(ISNA(HLOOKUP("start",ESLData!C$1:C$9955,MATCH($A698,ESLData!$B$1:$B$9955,0))),"",HLOOKUP("start",ESLData!C$1:C$9955,MATCH($A698,ESLData!$B$1:$B$9955,0)))</f>
        <v>Staff Recruitment-Tauranga</v>
      </c>
    </row>
    <row r="699" spans="1:11" ht="14.25" customHeight="1" x14ac:dyDescent="0.2">
      <c r="A699" s="364">
        <v>39385</v>
      </c>
      <c r="C699" s="363">
        <f>HLOOKUP("start",ESLData!E$1:E$9955,MATCH($A699,ESLData!$B$1:$B$9955,0))</f>
        <v>0</v>
      </c>
      <c r="E699" s="363">
        <f>HLOOKUP("start",ESLData!F$1:F$9955,MATCH($A699,ESLData!$B$1:$B$9955,0))</f>
        <v>0</v>
      </c>
      <c r="G699" s="363">
        <f>HLOOKUP("start",ESLData!H$1:H$9955,MATCH($A699,ESLData!$B$1:$B$9955,0))</f>
        <v>0</v>
      </c>
      <c r="J699" s="382" t="s">
        <v>1304</v>
      </c>
      <c r="K699" s="368" t="str">
        <f>IF(ISNA(HLOOKUP("start",ESLData!C$1:C$9955,MATCH($A699,ESLData!$B$1:$B$9955,0))),"",HLOOKUP("start",ESLData!C$1:C$9955,MATCH($A699,ESLData!$B$1:$B$9955,0)))</f>
        <v>Relieving Teachers</v>
      </c>
    </row>
    <row r="700" spans="1:11" s="368" customFormat="1" ht="14.25" customHeight="1" x14ac:dyDescent="0.2">
      <c r="A700" s="364">
        <v>39386</v>
      </c>
      <c r="C700" s="363">
        <f>HLOOKUP("start",ESLData!E$1:E$9955,MATCH($A700,ESLData!$B$1:$B$9955,0))</f>
        <v>0</v>
      </c>
      <c r="E700" s="363">
        <f>HLOOKUP("start",ESLData!F$1:F$9955,MATCH($A700,ESLData!$B$1:$B$9955,0))</f>
        <v>0</v>
      </c>
      <c r="G700" s="363">
        <f>HLOOKUP("start",ESLData!H$1:H$9955,MATCH($A700,ESLData!$B$1:$B$9955,0))</f>
        <v>39.130000000000003</v>
      </c>
      <c r="I700" s="370"/>
      <c r="J700" s="382" t="s">
        <v>1304</v>
      </c>
      <c r="K700" s="368" t="str">
        <f>IF(ISNA(HLOOKUP("start",ESLData!C$1:C$9955,MATCH($A700,ESLData!$B$1:$B$9955,0))),"",HLOOKUP("start",ESLData!C$1:C$9955,MATCH($A700,ESLData!$B$1:$B$9955,0)))</f>
        <v>Recruitment</v>
      </c>
    </row>
    <row r="701" spans="1:11" ht="14.25" customHeight="1" x14ac:dyDescent="0.2">
      <c r="A701" s="364">
        <v>39525</v>
      </c>
      <c r="C701" s="363">
        <f>HLOOKUP("start",ESLData!E$1:E$9955,MATCH($A701,ESLData!$B$1:$B$9955,0))</f>
        <v>0</v>
      </c>
      <c r="D701" s="369"/>
      <c r="E701" s="363">
        <f>HLOOKUP("start",ESLData!F$1:F$9955,MATCH($A701,ESLData!$B$1:$B$9955,0))</f>
        <v>0</v>
      </c>
      <c r="F701" s="369"/>
      <c r="G701" s="363">
        <f>HLOOKUP("start",ESLData!H$1:H$9955,MATCH($A701,ESLData!$B$1:$B$9955,0))</f>
        <v>0</v>
      </c>
      <c r="H701" s="369"/>
      <c r="J701" s="382" t="s">
        <v>1304</v>
      </c>
      <c r="K701" s="368" t="str">
        <f>IF(ISNA(HLOOKUP("start",ESLData!C$1:C$9955,MATCH($A701,ESLData!$B$1:$B$9955,0))),"",HLOOKUP("start",ESLData!C$1:C$9955,MATCH($A701,ESLData!$B$1:$B$9955,0)))</f>
        <v>Relieving Teachers</v>
      </c>
    </row>
    <row r="702" spans="1:11" ht="14.25" customHeight="1" x14ac:dyDescent="0.2">
      <c r="A702" s="364">
        <v>35296</v>
      </c>
      <c r="C702" s="363">
        <f>HLOOKUP("start",ESLData!E$1:E$9955,MATCH($A702,ESLData!$B$1:$B$9955,0))</f>
        <v>0</v>
      </c>
      <c r="E702" s="363">
        <f>HLOOKUP("start",ESLData!F$1:F$9955,MATCH($A702,ESLData!$B$1:$B$9955,0))</f>
        <v>0</v>
      </c>
      <c r="G702" s="363">
        <f>HLOOKUP("start",ESLData!H$1:H$9955,MATCH($A702,ESLData!$B$1:$B$9955,0))</f>
        <v>0</v>
      </c>
      <c r="J702" s="382" t="s">
        <v>1304</v>
      </c>
      <c r="K702" s="368" t="str">
        <f>IF(ISNA(HLOOKUP("start",ESLData!C$1:C$9955,MATCH($A702,ESLData!$B$1:$B$9955,0))),"",HLOOKUP("start",ESLData!C$1:C$9955,MATCH($A702,ESLData!$B$1:$B$9955,0)))</f>
        <v>Staff Travel/Accommodation</v>
      </c>
    </row>
    <row r="703" spans="1:11" ht="14.25" customHeight="1" x14ac:dyDescent="0.2">
      <c r="A703" s="364">
        <v>35298</v>
      </c>
      <c r="C703" s="363">
        <f>HLOOKUP("start",ESLData!E$1:E$9955,MATCH($A703,ESLData!$B$1:$B$9955,0))</f>
        <v>0</v>
      </c>
      <c r="E703" s="363">
        <f>HLOOKUP("start",ESLData!F$1:F$9955,MATCH($A703,ESLData!$B$1:$B$9955,0))</f>
        <v>0</v>
      </c>
      <c r="G703" s="363">
        <f>HLOOKUP("start",ESLData!H$1:H$9955,MATCH($A703,ESLData!$B$1:$B$9955,0))</f>
        <v>0</v>
      </c>
      <c r="J703" s="382" t="s">
        <v>1304</v>
      </c>
      <c r="K703" s="368" t="str">
        <f>IF(ISNA(HLOOKUP("start",ESLData!C$1:C$9955,MATCH($A703,ESLData!$B$1:$B$9955,0))),"",HLOOKUP("start",ESLData!C$1:C$9955,MATCH($A703,ESLData!$B$1:$B$9955,0)))</f>
        <v>Petrol</v>
      </c>
    </row>
    <row r="704" spans="1:11" ht="14.25" customHeight="1" x14ac:dyDescent="0.2">
      <c r="A704" s="364">
        <v>35870</v>
      </c>
      <c r="C704" s="363">
        <f>HLOOKUP("start",ESLData!E$1:E$9955,MATCH($A704,ESLData!$B$1:$B$9955,0))</f>
        <v>0</v>
      </c>
      <c r="E704" s="363">
        <f>HLOOKUP("start",ESLData!F$1:F$9955,MATCH($A704,ESLData!$B$1:$B$9955,0))</f>
        <v>0</v>
      </c>
      <c r="G704" s="363">
        <f>HLOOKUP("start",ESLData!H$1:H$9955,MATCH($A704,ESLData!$B$1:$B$9955,0))</f>
        <v>0</v>
      </c>
      <c r="J704" s="382" t="s">
        <v>1304</v>
      </c>
      <c r="K704" s="368" t="str">
        <f>IF(ISNA(HLOOKUP("start",ESLData!C$1:C$9955,MATCH($A704,ESLData!$B$1:$B$9955,0))),"",HLOOKUP("start",ESLData!C$1:C$9955,MATCH($A704,ESLData!$B$1:$B$9955,0)))</f>
        <v>Workshop Expenses</v>
      </c>
    </row>
    <row r="705" spans="1:11" ht="14.25" customHeight="1" x14ac:dyDescent="0.2">
      <c r="A705" s="364">
        <v>60230</v>
      </c>
      <c r="C705" s="363">
        <f>HLOOKUP("start",ESLData!E$1:E$9955,MATCH($A705,ESLData!$B$1:$B$9955,0))</f>
        <v>0</v>
      </c>
      <c r="E705" s="363">
        <f>HLOOKUP("start",ESLData!F$1:F$9955,MATCH($A705,ESLData!$B$1:$B$9955,0))</f>
        <v>0</v>
      </c>
      <c r="G705" s="363">
        <f>HLOOKUP("start",ESLData!H$1:H$9955,MATCH($A705,ESLData!$B$1:$B$9955,0))</f>
        <v>0</v>
      </c>
      <c r="J705" s="382" t="s">
        <v>1304</v>
      </c>
      <c r="K705" s="368" t="str">
        <f>IF(ISNA(HLOOKUP("start",ESLData!C$1:C$9955,MATCH($A705,ESLData!$B$1:$B$9955,0))),"",HLOOKUP("start",ESLData!C$1:C$9955,MATCH($A705,ESLData!$B$1:$B$9955,0)))</f>
        <v>Staffing: Admin Regional Specialist</v>
      </c>
    </row>
    <row r="706" spans="1:11" ht="14.25" customHeight="1" x14ac:dyDescent="0.2">
      <c r="A706" s="364">
        <v>60100</v>
      </c>
      <c r="C706" s="363">
        <f>HLOOKUP("start",ESLData!E$1:E$9955,MATCH($A706,ESLData!$B$1:$B$9955,0))</f>
        <v>0</v>
      </c>
      <c r="D706" s="400">
        <f>ROUND(SUM(C680:C706),0)</f>
        <v>5132</v>
      </c>
      <c r="E706" s="363">
        <f>HLOOKUP("start",ESLData!F$1:F$9955,MATCH($A706,ESLData!$B$1:$B$9955,0))</f>
        <v>0</v>
      </c>
      <c r="F706" s="381">
        <f>ROUND(SUM(E680:E706),0)</f>
        <v>3805</v>
      </c>
      <c r="G706" s="363">
        <f>HLOOKUP("start",ESLData!H$1:H$9955,MATCH($A706,ESLData!$B$1:$B$9955,0))</f>
        <v>0</v>
      </c>
      <c r="H706" s="400">
        <f>ROUND(SUM(G680:G706),0)</f>
        <v>4602</v>
      </c>
      <c r="J706" s="382" t="s">
        <v>1304</v>
      </c>
      <c r="K706" s="368" t="str">
        <f>IF(ISNA(HLOOKUP("start",ESLData!C$1:C$9955,MATCH($A706,ESLData!$B$1:$B$9955,0))),"",HLOOKUP("start",ESLData!C$1:C$9955,MATCH($A706,ESLData!$B$1:$B$9955,0)))</f>
        <v>Contractors: O&amp;M</v>
      </c>
    </row>
    <row r="707" spans="1:11" ht="14.25" customHeight="1" x14ac:dyDescent="0.2">
      <c r="A707" s="367" t="s">
        <v>880</v>
      </c>
      <c r="C707" s="363"/>
      <c r="E707" s="363"/>
      <c r="G707" s="363"/>
      <c r="J707" s="382" t="s">
        <v>1304</v>
      </c>
      <c r="K707" s="368" t="str">
        <f>IF(ISNA(HLOOKUP("start",ESLData!C$1:C$9955,MATCH($A707,ESLData!$B$1:$B$9955,0))),"",HLOOKUP("start",ESLData!C$1:C$9955,MATCH($A707,ESLData!$B$1:$B$9955,0)))</f>
        <v/>
      </c>
    </row>
    <row r="708" spans="1:11" ht="14.25" customHeight="1" x14ac:dyDescent="0.2">
      <c r="A708" s="364">
        <v>35190</v>
      </c>
      <c r="C708" s="363">
        <f>HLOOKUP("start",ESLData!E$1:E$9955,MATCH($A708,ESLData!$B$1:$B$9955,0))</f>
        <v>114.87</v>
      </c>
      <c r="E708" s="363">
        <f>HLOOKUP("start",ESLData!F$1:F$9955,MATCH($A708,ESLData!$B$1:$B$9955,0))</f>
        <v>0</v>
      </c>
      <c r="G708" s="363">
        <f>HLOOKUP("start",ESLData!H$1:H$9955,MATCH($A708,ESLData!$B$1:$B$9955,0))</f>
        <v>99.57</v>
      </c>
      <c r="J708" s="382" t="s">
        <v>1304</v>
      </c>
      <c r="K708" s="368" t="str">
        <f>IF(ISNA(HLOOKUP("start",ESLData!C$1:C$9955,MATCH($A708,ESLData!$B$1:$B$9955,0))),"",HLOOKUP("start",ESLData!C$1:C$9955,MATCH($A708,ESLData!$B$1:$B$9955,0)))</f>
        <v>Mgmt Mtgs (Lower Nth Island)</v>
      </c>
    </row>
    <row r="709" spans="1:11" ht="14.25" customHeight="1" x14ac:dyDescent="0.2">
      <c r="A709" s="364">
        <v>35192</v>
      </c>
      <c r="C709" s="363">
        <f>HLOOKUP("start",ESLData!E$1:E$9955,MATCH($A709,ESLData!$B$1:$B$9955,0))</f>
        <v>0</v>
      </c>
      <c r="E709" s="363">
        <f>HLOOKUP("start",ESLData!F$1:F$9955,MATCH($A709,ESLData!$B$1:$B$9955,0))</f>
        <v>0</v>
      </c>
      <c r="G709" s="363">
        <f>HLOOKUP("start",ESLData!H$1:H$9955,MATCH($A709,ESLData!$B$1:$B$9955,0))</f>
        <v>0</v>
      </c>
      <c r="J709" s="382" t="s">
        <v>1304</v>
      </c>
      <c r="K709" s="368" t="str">
        <f>IF(ISNA(HLOOKUP("start",ESLData!C$1:C$9955,MATCH($A709,ESLData!$B$1:$B$9955,0))),"",HLOOKUP("start",ESLData!C$1:C$9955,MATCH($A709,ESLData!$B$1:$B$9955,0)))</f>
        <v>Mgmt Mtgs (South Island)</v>
      </c>
    </row>
    <row r="710" spans="1:11" ht="14.25" customHeight="1" x14ac:dyDescent="0.2">
      <c r="A710" s="364">
        <v>35195</v>
      </c>
      <c r="C710" s="363">
        <f>HLOOKUP("start",ESLData!E$1:E$9955,MATCH($A710,ESLData!$B$1:$B$9955,0))</f>
        <v>33.5</v>
      </c>
      <c r="E710" s="363">
        <f>HLOOKUP("start",ESLData!F$1:F$9955,MATCH($A710,ESLData!$B$1:$B$9955,0))</f>
        <v>0</v>
      </c>
      <c r="G710" s="363">
        <f>HLOOKUP("start",ESLData!H$1:H$9955,MATCH($A710,ESLData!$B$1:$B$9955,0))</f>
        <v>411.28</v>
      </c>
      <c r="J710" s="382" t="s">
        <v>1304</v>
      </c>
      <c r="K710" s="368" t="str">
        <f>IF(ISNA(HLOOKUP("start",ESLData!C$1:C$9955,MATCH($A710,ESLData!$B$1:$B$9955,0))),"",HLOOKUP("start",ESLData!C$1:C$9955,MATCH($A710,ESLData!$B$1:$B$9955,0)))</f>
        <v>Mgmt Mtgs (Upper Nth Island)</v>
      </c>
    </row>
    <row r="711" spans="1:11" ht="14.25" customHeight="1" x14ac:dyDescent="0.2">
      <c r="A711" s="364">
        <v>35157</v>
      </c>
      <c r="C711" s="363">
        <f>HLOOKUP("start",ESLData!E$1:E$9955,MATCH($A711,ESLData!$B$1:$B$9955,0))</f>
        <v>305.22000000000003</v>
      </c>
      <c r="E711" s="363">
        <f>HLOOKUP("start",ESLData!F$1:F$9955,MATCH($A711,ESLData!$B$1:$B$9955,0))</f>
        <v>0</v>
      </c>
      <c r="G711" s="363">
        <f>HLOOKUP("start",ESLData!H$1:H$9955,MATCH($A711,ESLData!$B$1:$B$9955,0))</f>
        <v>200</v>
      </c>
      <c r="J711" s="382" t="s">
        <v>1304</v>
      </c>
      <c r="K711" s="368" t="str">
        <f>IF(ISNA(HLOOKUP("start",ESLData!C$1:C$9955,MATCH($A711,ESLData!$B$1:$B$9955,0))),"",HLOOKUP("start",ESLData!C$1:C$9955,MATCH($A711,ESLData!$B$1:$B$9955,0)))</f>
        <v>DOM Expenses</v>
      </c>
    </row>
    <row r="712" spans="1:11" ht="14.25" customHeight="1" x14ac:dyDescent="0.2">
      <c r="A712" s="364">
        <v>35295</v>
      </c>
      <c r="C712" s="363">
        <f>HLOOKUP("start",ESLData!E$1:E$9955,MATCH($A712,ESLData!$B$1:$B$9955,0))</f>
        <v>0</v>
      </c>
      <c r="E712" s="363">
        <f>HLOOKUP("start",ESLData!F$1:F$9955,MATCH($A712,ESLData!$B$1:$B$9955,0))</f>
        <v>0</v>
      </c>
      <c r="G712" s="363">
        <f>HLOOKUP("start",ESLData!H$1:H$9955,MATCH($A712,ESLData!$B$1:$B$9955,0))</f>
        <v>0</v>
      </c>
      <c r="J712" s="382" t="s">
        <v>1304</v>
      </c>
      <c r="K712" s="368" t="str">
        <f>IF(ISNA(HLOOKUP("start",ESLData!C$1:C$9955,MATCH($A712,ESLData!$B$1:$B$9955,0))),"",HLOOKUP("start",ESLData!C$1:C$9955,MATCH($A712,ESLData!$B$1:$B$9955,0)))</f>
        <v>Staff Training/Conferences</v>
      </c>
    </row>
    <row r="713" spans="1:11" ht="14.25" customHeight="1" x14ac:dyDescent="0.2">
      <c r="A713" s="364">
        <v>39020</v>
      </c>
      <c r="C713" s="363">
        <f>HLOOKUP("start",ESLData!E$1:E$9955,MATCH($A713,ESLData!$B$1:$B$9955,0))</f>
        <v>4.3499999999999996</v>
      </c>
      <c r="E713" s="363">
        <f>HLOOKUP("start",ESLData!F$1:F$9955,MATCH($A713,ESLData!$B$1:$B$9955,0))</f>
        <v>200</v>
      </c>
      <c r="G713" s="363">
        <f>HLOOKUP("start",ESLData!H$1:H$9955,MATCH($A713,ESLData!$B$1:$B$9955,0))</f>
        <v>0</v>
      </c>
      <c r="J713" s="382" t="s">
        <v>1304</v>
      </c>
      <c r="K713" s="368" t="str">
        <f>IF(ISNA(HLOOKUP("start",ESLData!C$1:C$9955,MATCH($A713,ESLData!$B$1:$B$9955,0))),"",HLOOKUP("start",ESLData!C$1:C$9955,MATCH($A713,ESLData!$B$1:$B$9955,0)))</f>
        <v>DOM Expenses</v>
      </c>
    </row>
    <row r="714" spans="1:11" ht="14.25" customHeight="1" x14ac:dyDescent="0.2">
      <c r="A714" s="364">
        <v>60850</v>
      </c>
      <c r="C714" s="363">
        <f>HLOOKUP("start",ESLData!E$1:E$9955,MATCH($A714,ESLData!$B$1:$B$9955,0))</f>
        <v>0</v>
      </c>
      <c r="E714" s="363">
        <f>HLOOKUP("start",ESLData!F$1:F$9955,MATCH($A714,ESLData!$B$1:$B$9955,0))</f>
        <v>0</v>
      </c>
      <c r="G714" s="363">
        <f>HLOOKUP("start",ESLData!H$1:H$9955,MATCH($A714,ESLData!$B$1:$B$9955,0))</f>
        <v>0</v>
      </c>
      <c r="J714" s="382" t="s">
        <v>1304</v>
      </c>
      <c r="K714" s="368" t="str">
        <f>IF(ISNA(HLOOKUP("start",ESLData!C$1:C$9955,MATCH($A714,ESLData!$B$1:$B$9955,0))),"",HLOOKUP("start",ESLData!C$1:C$9955,MATCH($A714,ESLData!$B$1:$B$9955,0)))</f>
        <v>Paraprofessional Pd</v>
      </c>
    </row>
    <row r="715" spans="1:11" ht="14.25" customHeight="1" x14ac:dyDescent="0.2">
      <c r="A715" s="364">
        <v>60851</v>
      </c>
      <c r="C715" s="363">
        <f>HLOOKUP("start",ESLData!E$1:E$9955,MATCH($A715,ESLData!$B$1:$B$9955,0))</f>
        <v>0</v>
      </c>
      <c r="E715" s="363">
        <f>HLOOKUP("start",ESLData!F$1:F$9955,MATCH($A715,ESLData!$B$1:$B$9955,0))</f>
        <v>0</v>
      </c>
      <c r="G715" s="363">
        <f>HLOOKUP("start",ESLData!H$1:H$9955,MATCH($A715,ESLData!$B$1:$B$9955,0))</f>
        <v>0</v>
      </c>
      <c r="J715" s="382" t="s">
        <v>1304</v>
      </c>
      <c r="K715" s="368" t="str">
        <f>IF(ISNA(HLOOKUP("start",ESLData!C$1:C$9955,MATCH($A715,ESLData!$B$1:$B$9955,0))),"",HLOOKUP("start",ESLData!C$1:C$9955,MATCH($A715,ESLData!$B$1:$B$9955,0)))</f>
        <v>Parent PD</v>
      </c>
    </row>
    <row r="716" spans="1:11" ht="14.25" customHeight="1" x14ac:dyDescent="0.2">
      <c r="A716" s="364">
        <v>60855</v>
      </c>
      <c r="C716" s="363">
        <f>HLOOKUP("start",ESLData!E$1:E$9955,MATCH($A716,ESLData!$B$1:$B$9955,0))</f>
        <v>0</v>
      </c>
      <c r="E716" s="363">
        <f>HLOOKUP("start",ESLData!F$1:F$9955,MATCH($A716,ESLData!$B$1:$B$9955,0))</f>
        <v>0</v>
      </c>
      <c r="G716" s="363">
        <f>HLOOKUP("start",ESLData!H$1:H$9955,MATCH($A716,ESLData!$B$1:$B$9955,0))</f>
        <v>0</v>
      </c>
      <c r="J716" s="382" t="s">
        <v>1304</v>
      </c>
      <c r="K716" s="368" t="str">
        <f>IF(ISNA(HLOOKUP("start",ESLData!C$1:C$9955,MATCH($A716,ESLData!$B$1:$B$9955,0))),"",HLOOKUP("start",ESLData!C$1:C$9955,MATCH($A716,ESLData!$B$1:$B$9955,0)))</f>
        <v>Blennz Wide Pd</v>
      </c>
    </row>
    <row r="717" spans="1:11" ht="14.25" customHeight="1" x14ac:dyDescent="0.2">
      <c r="A717" s="364">
        <v>35197</v>
      </c>
      <c r="C717" s="363">
        <f>HLOOKUP("start",ESLData!E$1:E$9955,MATCH($A717,ESLData!$B$1:$B$9955,0))</f>
        <v>0</v>
      </c>
      <c r="E717" s="363">
        <f>HLOOKUP("start",ESLData!F$1:F$9955,MATCH($A717,ESLData!$B$1:$B$9955,0))</f>
        <v>0</v>
      </c>
      <c r="G717" s="363">
        <f>HLOOKUP("start",ESLData!H$1:H$9955,MATCH($A717,ESLData!$B$1:$B$9955,0))</f>
        <v>0</v>
      </c>
      <c r="J717" s="382" t="s">
        <v>1304</v>
      </c>
      <c r="K717" s="368" t="str">
        <f>IF(ISNA(HLOOKUP("start",ESLData!C$1:C$9955,MATCH($A717,ESLData!$B$1:$B$9955,0))),"",HLOOKUP("start",ESLData!C$1:C$9955,MATCH($A717,ESLData!$B$1:$B$9955,0)))</f>
        <v>Regional Specialist Services</v>
      </c>
    </row>
    <row r="718" spans="1:11" ht="14.25" customHeight="1" x14ac:dyDescent="0.2">
      <c r="A718" s="364">
        <v>35199</v>
      </c>
      <c r="C718" s="363">
        <f>HLOOKUP("start",ESLData!E$1:E$9955,MATCH($A718,ESLData!$B$1:$B$9955,0))</f>
        <v>0</v>
      </c>
      <c r="E718" s="363">
        <f>HLOOKUP("start",ESLData!F$1:F$9955,MATCH($A718,ESLData!$B$1:$B$9955,0))</f>
        <v>0</v>
      </c>
      <c r="G718" s="363">
        <f>HLOOKUP("start",ESLData!H$1:H$9955,MATCH($A718,ESLData!$B$1:$B$9955,0))</f>
        <v>0</v>
      </c>
      <c r="J718" s="382" t="s">
        <v>1304</v>
      </c>
      <c r="K718" s="368" t="str">
        <f>IF(ISNA(HLOOKUP("start",ESLData!C$1:C$9955,MATCH($A718,ESLData!$B$1:$B$9955,0))),"",HLOOKUP("start",ESLData!C$1:C$9955,MATCH($A718,ESLData!$B$1:$B$9955,0)))</f>
        <v>Round Table &amp; SEPANZ</v>
      </c>
    </row>
    <row r="719" spans="1:11" ht="14.25" customHeight="1" x14ac:dyDescent="0.2">
      <c r="A719" s="364">
        <v>35198</v>
      </c>
      <c r="C719" s="363">
        <f>HLOOKUP("start",ESLData!E$1:E$9955,MATCH($A719,ESLData!$B$1:$B$9955,0))</f>
        <v>0</v>
      </c>
      <c r="D719" s="400">
        <f>ROUND(SUM(C708:C719),0)</f>
        <v>458</v>
      </c>
      <c r="E719" s="363">
        <f>HLOOKUP("start",ESLData!F$1:F$9955,MATCH($A719,ESLData!$B$1:$B$9955,0))</f>
        <v>0</v>
      </c>
      <c r="F719" s="381">
        <f>ROUND(SUM(E708:E719),0)</f>
        <v>200</v>
      </c>
      <c r="G719" s="363">
        <f>HLOOKUP("start",ESLData!H$1:H$9955,MATCH($A719,ESLData!$B$1:$B$9955,0))</f>
        <v>0</v>
      </c>
      <c r="H719" s="400">
        <f>ROUND(SUM(G708:G719),0)</f>
        <v>711</v>
      </c>
      <c r="J719" s="382" t="s">
        <v>1304</v>
      </c>
      <c r="K719" s="368" t="str">
        <f>IF(ISNA(HLOOKUP("start",ESLData!C$1:C$9955,MATCH($A719,ESLData!$B$1:$B$9955,0))),"",HLOOKUP("start",ESLData!C$1:C$9955,MATCH($A719,ESLData!$B$1:$B$9955,0)))</f>
        <v>International Visiting Speaker</v>
      </c>
    </row>
    <row r="720" spans="1:11" ht="14.25" customHeight="1" x14ac:dyDescent="0.2">
      <c r="C720" s="363"/>
      <c r="E720" s="363"/>
      <c r="G720" s="363"/>
      <c r="K720" s="368" t="str">
        <f>IF(ISNA(HLOOKUP("start",ESLData!C$1:C$9955,MATCH($A720,ESLData!$B$1:$B$9955,0))),"",HLOOKUP("start",ESLData!C$1:C$9955,MATCH($A720,ESLData!$B$1:$B$9955,0)))</f>
        <v/>
      </c>
    </row>
    <row r="721" spans="1:11" s="368" customFormat="1" ht="14.25" customHeight="1" x14ac:dyDescent="0.2">
      <c r="A721" s="376" t="s">
        <v>806</v>
      </c>
      <c r="C721" s="363"/>
      <c r="E721" s="363"/>
      <c r="G721" s="363"/>
      <c r="K721" s="368" t="str">
        <f>IF(ISNA(HLOOKUP("start",ESLData!C$1:C$9955,MATCH($A721,ESLData!$B$1:$B$9955,0))),"",HLOOKUP("start",ESLData!C$1:C$9955,MATCH($A721,ESLData!$B$1:$B$9955,0)))</f>
        <v/>
      </c>
    </row>
    <row r="722" spans="1:11" s="368" customFormat="1" ht="14.25" customHeight="1" x14ac:dyDescent="0.2">
      <c r="A722" s="367" t="s">
        <v>850</v>
      </c>
      <c r="C722" s="363"/>
      <c r="E722" s="363"/>
      <c r="G722" s="363"/>
      <c r="K722" s="368" t="str">
        <f>IF(ISNA(HLOOKUP("start",ESLData!C$1:C$9955,MATCH($A722,ESLData!$B$1:$B$9955,0))),"",HLOOKUP("start",ESLData!C$1:C$9955,MATCH($A722,ESLData!$B$1:$B$9955,0)))</f>
        <v/>
      </c>
    </row>
    <row r="723" spans="1:11" s="368" customFormat="1" ht="14.25" customHeight="1" x14ac:dyDescent="0.2">
      <c r="A723" s="364">
        <v>46040</v>
      </c>
      <c r="C723" s="363">
        <f>HLOOKUP("start",ESLData!E$1:E$9955,MATCH($A723,ESLData!$B$1:$B$9955,0))</f>
        <v>9462</v>
      </c>
      <c r="D723" s="401">
        <f>ROUND(SUM(C723),0)</f>
        <v>9462</v>
      </c>
      <c r="E723" s="363">
        <f>HLOOKUP("start",ESLData!F$1:F$9955,MATCH($A723,ESLData!$B$1:$B$9955,0))</f>
        <v>8828</v>
      </c>
      <c r="F723" s="369">
        <f>ROUND(SUM(E723),0)</f>
        <v>8828</v>
      </c>
      <c r="G723" s="402">
        <f>HLOOKUP("start",ESLData!H$1:H$9955,MATCH($A723,ESLData!$B$1:$B$9955,0))</f>
        <v>8720</v>
      </c>
      <c r="H723" s="369">
        <f>ROUND(SUM(G723),0)</f>
        <v>8720</v>
      </c>
      <c r="J723" s="382" t="s">
        <v>1304</v>
      </c>
      <c r="K723" s="368" t="str">
        <f>IF(ISNA(HLOOKUP("start",ESLData!C$1:C$9955,MATCH($A723,ESLData!$B$1:$B$9955,0))),"",HLOOKUP("start",ESLData!C$1:C$9955,MATCH($A723,ESLData!$B$1:$B$9955,0)))</f>
        <v>Audit Fees</v>
      </c>
    </row>
    <row r="724" spans="1:11" s="368" customFormat="1" ht="14.25" customHeight="1" x14ac:dyDescent="0.2">
      <c r="A724" s="367" t="s">
        <v>603</v>
      </c>
      <c r="C724" s="363"/>
      <c r="E724" s="363"/>
      <c r="G724" s="363"/>
      <c r="J724" s="382" t="s">
        <v>1304</v>
      </c>
      <c r="K724" s="368" t="str">
        <f>IF(ISNA(HLOOKUP("start",ESLData!C$1:C$9955,MATCH($A724,ESLData!$B$1:$B$9955,0))),"",HLOOKUP("start",ESLData!C$1:C$9955,MATCH($A724,ESLData!$B$1:$B$9955,0)))</f>
        <v/>
      </c>
    </row>
    <row r="725" spans="1:11" s="368" customFormat="1" ht="14.25" customHeight="1" x14ac:dyDescent="0.2">
      <c r="A725" s="364">
        <v>46080</v>
      </c>
      <c r="C725" s="363">
        <f>HLOOKUP("start",ESLData!E$1:E$9955,MATCH($A725,ESLData!$B$1:$B$9955,0))</f>
        <v>9241.7199999999993</v>
      </c>
      <c r="D725" s="401">
        <f>ROUND(SUM(C725),0)</f>
        <v>9242</v>
      </c>
      <c r="E725" s="363">
        <f>HLOOKUP("start",ESLData!F$1:F$9955,MATCH($A725,ESLData!$B$1:$B$9955,0))</f>
        <v>9300</v>
      </c>
      <c r="F725" s="369">
        <f>ROUND(SUM(E725),0)</f>
        <v>9300</v>
      </c>
      <c r="G725" s="402">
        <f>HLOOKUP("start",ESLData!H$1:H$9955,MATCH($A725,ESLData!$B$1:$B$9955,0))</f>
        <v>8040</v>
      </c>
      <c r="H725" s="369">
        <f>ROUND(SUM(G725),0)</f>
        <v>8040</v>
      </c>
      <c r="J725" s="382" t="s">
        <v>1304</v>
      </c>
      <c r="K725" s="368" t="str">
        <f>IF(ISNA(HLOOKUP("start",ESLData!C$1:C$9955,MATCH($A725,ESLData!$B$1:$B$9955,0))),"",HLOOKUP("start",ESLData!C$1:C$9955,MATCH($A725,ESLData!$B$1:$B$9955,0)))</f>
        <v>BOT - Attendance Fees</v>
      </c>
    </row>
    <row r="726" spans="1:11" s="368" customFormat="1" ht="14.25" customHeight="1" x14ac:dyDescent="0.2">
      <c r="A726" s="367" t="s">
        <v>604</v>
      </c>
      <c r="C726" s="363"/>
      <c r="E726" s="363"/>
      <c r="G726" s="363"/>
      <c r="J726" s="382" t="s">
        <v>1304</v>
      </c>
      <c r="K726" s="368" t="str">
        <f>IF(ISNA(HLOOKUP("start",ESLData!C$1:C$9955,MATCH($A726,ESLData!$B$1:$B$9955,0))),"",HLOOKUP("start",ESLData!C$1:C$9955,MATCH($A726,ESLData!$B$1:$B$9955,0)))</f>
        <v/>
      </c>
    </row>
    <row r="727" spans="1:11" s="368" customFormat="1" ht="14.25" customHeight="1" x14ac:dyDescent="0.2">
      <c r="A727" s="364">
        <v>46060</v>
      </c>
      <c r="C727" s="363">
        <f>HLOOKUP("start",ESLData!E$1:E$9955,MATCH($A727,ESLData!$B$1:$B$9955,0))</f>
        <v>20728.689999999999</v>
      </c>
      <c r="E727" s="363">
        <f>HLOOKUP("start",ESLData!F$1:F$9955,MATCH($A727,ESLData!$B$1:$B$9955,0))</f>
        <v>28000</v>
      </c>
      <c r="G727" s="363">
        <f>HLOOKUP("start",ESLData!H$1:H$9955,MATCH($A727,ESLData!$B$1:$B$9955,0))</f>
        <v>24948.89</v>
      </c>
      <c r="J727" s="382" t="s">
        <v>1304</v>
      </c>
      <c r="K727" s="368" t="str">
        <f>IF(ISNA(HLOOKUP("start",ESLData!C$1:C$9955,MATCH($A727,ESLData!$B$1:$B$9955,0))),"",HLOOKUP("start",ESLData!C$1:C$9955,MATCH($A727,ESLData!$B$1:$B$9955,0)))</f>
        <v>BOT - Administration &amp; Sub</v>
      </c>
    </row>
    <row r="728" spans="1:11" s="368" customFormat="1" ht="14.25" customHeight="1" x14ac:dyDescent="0.2">
      <c r="A728" s="364">
        <v>46100</v>
      </c>
      <c r="C728" s="363">
        <f>HLOOKUP("start",ESLData!E$1:E$9955,MATCH($A728,ESLData!$B$1:$B$9955,0))</f>
        <v>0</v>
      </c>
      <c r="E728" s="363">
        <f>HLOOKUP("start",ESLData!F$1:F$9955,MATCH($A728,ESLData!$B$1:$B$9955,0))</f>
        <v>0</v>
      </c>
      <c r="G728" s="363">
        <f>HLOOKUP("start",ESLData!H$1:H$9955,MATCH($A728,ESLData!$B$1:$B$9955,0))</f>
        <v>9823.98</v>
      </c>
      <c r="J728" s="382"/>
      <c r="K728" s="368" t="str">
        <f>IF(ISNA(HLOOKUP("start",ESLData!C$1:C$9955,MATCH($A728,ESLData!$B$1:$B$9955,0))),"",HLOOKUP("start",ESLData!C$1:C$9955,MATCH($A728,ESLData!$B$1:$B$9955,0)))</f>
        <v>BOT - Elections</v>
      </c>
    </row>
    <row r="729" spans="1:11" s="368" customFormat="1" ht="14.25" customHeight="1" x14ac:dyDescent="0.2">
      <c r="A729" s="364">
        <v>46160</v>
      </c>
      <c r="C729" s="363">
        <f>HLOOKUP("start",ESLData!E$1:E$9955,MATCH($A729,ESLData!$B$1:$B$9955,0))</f>
        <v>283.39</v>
      </c>
      <c r="E729" s="363">
        <f>HLOOKUP("start",ESLData!F$1:F$9955,MATCH($A729,ESLData!$B$1:$B$9955,0))</f>
        <v>500</v>
      </c>
      <c r="G729" s="363">
        <f>HLOOKUP("start",ESLData!H$1:H$9955,MATCH($A729,ESLData!$B$1:$B$9955,0))</f>
        <v>313.83</v>
      </c>
      <c r="J729" s="382" t="s">
        <v>1304</v>
      </c>
      <c r="K729" s="368" t="str">
        <f>IF(ISNA(HLOOKUP("start",ESLData!C$1:C$9955,MATCH($A729,ESLData!$B$1:$B$9955,0))),"",HLOOKUP("start",ESLData!C$1:C$9955,MATCH($A729,ESLData!$B$1:$B$9955,0)))</f>
        <v>BOT - Subscriptions</v>
      </c>
    </row>
    <row r="730" spans="1:11" s="368" customFormat="1" ht="14.25" customHeight="1" x14ac:dyDescent="0.2">
      <c r="A730" s="364">
        <v>46180</v>
      </c>
      <c r="C730" s="363">
        <f>HLOOKUP("start",ESLData!E$1:E$9955,MATCH($A730,ESLData!$B$1:$B$9955,0))</f>
        <v>2473.92</v>
      </c>
      <c r="E730" s="363">
        <f>HLOOKUP("start",ESLData!F$1:F$9955,MATCH($A730,ESLData!$B$1:$B$9955,0))</f>
        <v>4000</v>
      </c>
      <c r="G730" s="363">
        <f>HLOOKUP("start",ESLData!H$1:H$9955,MATCH($A730,ESLData!$B$1:$B$9955,0))</f>
        <v>2886.53</v>
      </c>
      <c r="J730" s="382" t="s">
        <v>1304</v>
      </c>
      <c r="K730" s="368" t="str">
        <f>IF(ISNA(HLOOKUP("start",ESLData!C$1:C$9955,MATCH($A730,ESLData!$B$1:$B$9955,0))),"",HLOOKUP("start",ESLData!C$1:C$9955,MATCH($A730,ESLData!$B$1:$B$9955,0)))</f>
        <v>BOT - Training</v>
      </c>
    </row>
    <row r="731" spans="1:11" s="368" customFormat="1" ht="14.25" customHeight="1" x14ac:dyDescent="0.2">
      <c r="A731" s="364">
        <v>46190</v>
      </c>
      <c r="C731" s="363">
        <f>HLOOKUP("start",ESLData!E$1:E$9955,MATCH($A731,ESLData!$B$1:$B$9955,0))</f>
        <v>24126.54</v>
      </c>
      <c r="D731" s="400">
        <f>ROUND(SUM(C727:C731),0)</f>
        <v>47613</v>
      </c>
      <c r="E731" s="363">
        <f>HLOOKUP("start",ESLData!F$1:F$9955,MATCH($A731,ESLData!$B$1:$B$9955,0))</f>
        <v>26000</v>
      </c>
      <c r="F731" s="381">
        <f>ROUND(SUM(E727:E731),0)</f>
        <v>58500</v>
      </c>
      <c r="G731" s="363">
        <f>HLOOKUP("start",ESLData!H$1:H$9955,MATCH($A731,ESLData!$B$1:$B$9955,0))</f>
        <v>21900.33</v>
      </c>
      <c r="H731" s="400">
        <f>ROUND(SUM(G727:G731),0)</f>
        <v>59874</v>
      </c>
      <c r="J731" s="382" t="s">
        <v>1304</v>
      </c>
      <c r="K731" s="368" t="str">
        <f>IF(ISNA(HLOOKUP("start",ESLData!C$1:C$9955,MATCH($A731,ESLData!$B$1:$B$9955,0))),"",HLOOKUP("start",ESLData!C$1:C$9955,MATCH($A731,ESLData!$B$1:$B$9955,0)))</f>
        <v>BOT - Travel</v>
      </c>
    </row>
    <row r="732" spans="1:11" s="368" customFormat="1" ht="14.25" customHeight="1" x14ac:dyDescent="0.2">
      <c r="A732" s="367" t="s">
        <v>605</v>
      </c>
      <c r="C732" s="363"/>
      <c r="E732" s="363"/>
      <c r="G732" s="363"/>
      <c r="J732" s="382" t="s">
        <v>1304</v>
      </c>
      <c r="K732" s="368" t="str">
        <f>IF(ISNA(HLOOKUP("start",ESLData!C$1:C$9955,MATCH($A732,ESLData!$B$1:$B$9955,0))),"",HLOOKUP("start",ESLData!C$1:C$9955,MATCH($A732,ESLData!$B$1:$B$9955,0)))</f>
        <v/>
      </c>
    </row>
    <row r="733" spans="1:11" s="368" customFormat="1" ht="14.25" customHeight="1" x14ac:dyDescent="0.2">
      <c r="A733" s="364">
        <v>46260</v>
      </c>
      <c r="C733" s="363">
        <f>HLOOKUP("start",ESLData!E$1:E$9955,MATCH($A733,ESLData!$B$1:$B$9955,0))</f>
        <v>4822.8500000000004</v>
      </c>
      <c r="D733" s="369"/>
      <c r="E733" s="363">
        <f>HLOOKUP("start",ESLData!F$1:F$9955,MATCH($A733,ESLData!$B$1:$B$9955,0))</f>
        <v>7000</v>
      </c>
      <c r="F733" s="369"/>
      <c r="G733" s="363">
        <f>HLOOKUP("start",ESLData!H$1:H$9955,MATCH($A733,ESLData!$B$1:$B$9955,0))</f>
        <v>13952.87</v>
      </c>
      <c r="H733" s="369"/>
      <c r="J733" s="382" t="s">
        <v>1304</v>
      </c>
      <c r="K733" s="368" t="str">
        <f>IF(ISNA(HLOOKUP("start",ESLData!C$1:C$9955,MATCH($A733,ESLData!$B$1:$B$9955,0))),"",HLOOKUP("start",ESLData!C$1:C$9955,MATCH($A733,ESLData!$B$1:$B$9955,0)))</f>
        <v>Telephone/Tolls/Faxes</v>
      </c>
    </row>
    <row r="734" spans="1:11" s="368" customFormat="1" ht="14.25" customHeight="1" x14ac:dyDescent="0.2">
      <c r="A734" s="364">
        <v>46300</v>
      </c>
      <c r="C734" s="363">
        <f>HLOOKUP("start",ESLData!E$1:E$9955,MATCH($A734,ESLData!$B$1:$B$9955,0))</f>
        <v>1015.83</v>
      </c>
      <c r="E734" s="363">
        <f>HLOOKUP("start",ESLData!F$1:F$9955,MATCH($A734,ESLData!$B$1:$B$9955,0))</f>
        <v>2500</v>
      </c>
      <c r="G734" s="363">
        <f>HLOOKUP("start",ESLData!H$1:H$9955,MATCH($A734,ESLData!$B$1:$B$9955,0))</f>
        <v>1646.37</v>
      </c>
      <c r="J734" s="382" t="s">
        <v>1304</v>
      </c>
      <c r="K734" s="368" t="str">
        <f>IF(ISNA(HLOOKUP("start",ESLData!C$1:C$9955,MATCH($A734,ESLData!$B$1:$B$9955,0))),"",HLOOKUP("start",ESLData!C$1:C$9955,MATCH($A734,ESLData!$B$1:$B$9955,0)))</f>
        <v>Computer/Software Expenses</v>
      </c>
    </row>
    <row r="735" spans="1:11" s="368" customFormat="1" ht="14.25" customHeight="1" x14ac:dyDescent="0.2">
      <c r="A735" s="364">
        <v>46644</v>
      </c>
      <c r="C735" s="363">
        <f>HLOOKUP("start",ESLData!E$1:E$9955,MATCH($A735,ESLData!$B$1:$B$9955,0))</f>
        <v>334927.02</v>
      </c>
      <c r="E735" s="363">
        <f>HLOOKUP("start",ESLData!F$1:F$9955,MATCH($A735,ESLData!$B$1:$B$9955,0))</f>
        <v>322400</v>
      </c>
      <c r="G735" s="363">
        <f>HLOOKUP("start",ESLData!H$1:H$9955,MATCH($A735,ESLData!$B$1:$B$9955,0))</f>
        <v>227349.7</v>
      </c>
      <c r="J735" s="382" t="s">
        <v>1304</v>
      </c>
      <c r="K735" s="368" t="str">
        <f>IF(ISNA(HLOOKUP("start",ESLData!C$1:C$9955,MATCH($A735,ESLData!$B$1:$B$9955,0))),"",HLOOKUP("start",ESLData!C$1:C$9955,MATCH($A735,ESLData!$B$1:$B$9955,0)))</f>
        <v>Ict Technical Support</v>
      </c>
    </row>
    <row r="736" spans="1:11" s="368" customFormat="1" ht="14.25" customHeight="1" x14ac:dyDescent="0.2">
      <c r="A736" s="364">
        <v>46655</v>
      </c>
      <c r="C736" s="363">
        <f>HLOOKUP("start",ESLData!E$1:E$9955,MATCH($A736,ESLData!$B$1:$B$9955,0))</f>
        <v>35349.86</v>
      </c>
      <c r="E736" s="363">
        <f>HLOOKUP("start",ESLData!F$1:F$9955,MATCH($A736,ESLData!$B$1:$B$9955,0))</f>
        <v>35717</v>
      </c>
      <c r="G736" s="363">
        <f>HLOOKUP("start",ESLData!H$1:H$9955,MATCH($A736,ESLData!$B$1:$B$9955,0))</f>
        <v>2218.63</v>
      </c>
      <c r="J736" s="382" t="s">
        <v>1304</v>
      </c>
      <c r="K736" s="368" t="str">
        <f>IF(ISNA(HLOOKUP("start",ESLData!C$1:C$9955,MATCH($A736,ESLData!$B$1:$B$9955,0))),"",HLOOKUP("start",ESLData!C$1:C$9955,MATCH($A736,ESLData!$B$1:$B$9955,0)))</f>
        <v>National Software Expenses</v>
      </c>
    </row>
    <row r="737" spans="1:11" s="368" customFormat="1" ht="14.25" customHeight="1" x14ac:dyDescent="0.2">
      <c r="A737" s="364">
        <v>46657</v>
      </c>
      <c r="C737" s="363">
        <f>HLOOKUP("start",ESLData!E$1:E$9955,MATCH($A737,ESLData!$B$1:$B$9955,0))</f>
        <v>0</v>
      </c>
      <c r="D737" s="369"/>
      <c r="E737" s="363">
        <f>HLOOKUP("start",ESLData!F$1:F$9955,MATCH($A737,ESLData!$B$1:$B$9955,0))</f>
        <v>24500</v>
      </c>
      <c r="F737" s="369"/>
      <c r="G737" s="363">
        <f>HLOOKUP("start",ESLData!H$1:H$9955,MATCH($A737,ESLData!$B$1:$B$9955,0))</f>
        <v>21491.25</v>
      </c>
      <c r="H737" s="369"/>
      <c r="J737" s="382" t="s">
        <v>1304</v>
      </c>
      <c r="K737" s="368" t="str">
        <f>IF(ISNA(HLOOKUP("start",ESLData!C$1:C$9955,MATCH($A737,ESLData!$B$1:$B$9955,0))),"",HLOOKUP("start",ESLData!C$1:C$9955,MATCH($A737,ESLData!$B$1:$B$9955,0)))</f>
        <v>ICT Project costs</v>
      </c>
    </row>
    <row r="738" spans="1:11" s="368" customFormat="1" ht="14.25" customHeight="1" x14ac:dyDescent="0.2">
      <c r="A738" s="364">
        <v>46658</v>
      </c>
      <c r="C738" s="363">
        <f>HLOOKUP("start",ESLData!E$1:E$9955,MATCH($A738,ESLData!$B$1:$B$9955,0))</f>
        <v>14523.46</v>
      </c>
      <c r="D738" s="369"/>
      <c r="E738" s="363">
        <f>HLOOKUP("start",ESLData!F$1:F$9955,MATCH($A738,ESLData!$B$1:$B$9955,0))</f>
        <v>38150</v>
      </c>
      <c r="F738" s="369"/>
      <c r="G738" s="363">
        <f>HLOOKUP("start",ESLData!H$1:H$9955,MATCH($A738,ESLData!$B$1:$B$9955,0))</f>
        <v>0</v>
      </c>
      <c r="H738" s="369"/>
      <c r="J738" s="382" t="s">
        <v>1304</v>
      </c>
      <c r="K738" s="368" t="str">
        <f>IF(ISNA(HLOOKUP("start",ESLData!C$1:C$9955,MATCH($A738,ESLData!$B$1:$B$9955,0))),"",HLOOKUP("start",ESLData!C$1:C$9955,MATCH($A738,ESLData!$B$1:$B$9955,0)))</f>
        <v>Network ICT Expenses</v>
      </c>
    </row>
    <row r="739" spans="1:11" s="368" customFormat="1" ht="14.25" customHeight="1" x14ac:dyDescent="0.2">
      <c r="A739" s="364">
        <v>35255</v>
      </c>
      <c r="C739" s="363">
        <f>HLOOKUP("start",ESLData!E$1:E$9955,MATCH($A739,ESLData!$B$1:$B$9955,0))</f>
        <v>0</v>
      </c>
      <c r="E739" s="363">
        <f>HLOOKUP("start",ESLData!F$1:F$9955,MATCH($A739,ESLData!$B$1:$B$9955,0))</f>
        <v>0</v>
      </c>
      <c r="G739" s="363">
        <f>HLOOKUP("start",ESLData!H$1:H$9955,MATCH($A739,ESLData!$B$1:$B$9955,0))</f>
        <v>0</v>
      </c>
      <c r="J739" s="382" t="s">
        <v>1304</v>
      </c>
      <c r="K739" s="368" t="str">
        <f>IF(ISNA(HLOOKUP("start",ESLData!C$1:C$9955,MATCH($A739,ESLData!$B$1:$B$9955,0))),"",HLOOKUP("start",ESLData!C$1:C$9955,MATCH($A739,ESLData!$B$1:$B$9955,0)))</f>
        <v>Tel Rental/Tolls/Fax</v>
      </c>
    </row>
    <row r="740" spans="1:11" s="368" customFormat="1" ht="14.25" customHeight="1" x14ac:dyDescent="0.2">
      <c r="A740" s="364">
        <v>30250</v>
      </c>
      <c r="C740" s="363">
        <f>HLOOKUP("start",ESLData!E$1:E$9955,MATCH($A740,ESLData!$B$1:$B$9955,0))</f>
        <v>5175.7</v>
      </c>
      <c r="D740" s="400">
        <f>ROUND(SUM(C733:C740),0)</f>
        <v>395815</v>
      </c>
      <c r="E740" s="363">
        <f>HLOOKUP("start",ESLData!F$1:F$9955,MATCH($A740,ESLData!$B$1:$B$9955,0))</f>
        <v>5800</v>
      </c>
      <c r="F740" s="381">
        <f>ROUND(SUM(E733:E740),0)</f>
        <v>436067</v>
      </c>
      <c r="G740" s="363">
        <f>HLOOKUP("start",ESLData!H$1:H$9955,MATCH($A740,ESLData!$B$1:$B$9955,0))</f>
        <v>2509.23</v>
      </c>
      <c r="H740" s="400">
        <f>ROUND(SUM(G733:G740),0)</f>
        <v>269168</v>
      </c>
      <c r="J740" s="382" t="s">
        <v>1304</v>
      </c>
      <c r="K740" s="368" t="str">
        <f>IF(ISNA(HLOOKUP("start",ESLData!C$1:C$9955,MATCH($A740,ESLData!$B$1:$B$9955,0))),"",HLOOKUP("start",ESLData!C$1:C$9955,MATCH($A740,ESLData!$B$1:$B$9955,0)))</f>
        <v>Telephone/Tolls/Faxes</v>
      </c>
    </row>
    <row r="741" spans="1:11" s="368" customFormat="1" ht="14.25" customHeight="1" x14ac:dyDescent="0.2">
      <c r="A741" s="364"/>
      <c r="C741" s="363"/>
      <c r="D741" s="369"/>
      <c r="E741" s="363"/>
      <c r="F741" s="369"/>
      <c r="G741" s="363"/>
      <c r="H741" s="369"/>
      <c r="J741" s="382" t="s">
        <v>1304</v>
      </c>
      <c r="K741" s="368" t="str">
        <f>IF(ISNA(HLOOKUP("start",ESLData!C$1:C$9955,MATCH($A741,ESLData!$B$1:$B$9955,0))),"",HLOOKUP("start",ESLData!C$1:C$9955,MATCH($A741,ESLData!$B$1:$B$9955,0)))</f>
        <v/>
      </c>
    </row>
    <row r="742" spans="1:11" s="368" customFormat="1" ht="14.25" customHeight="1" x14ac:dyDescent="0.2">
      <c r="A742" s="367" t="s">
        <v>814</v>
      </c>
      <c r="C742" s="363"/>
      <c r="E742" s="363"/>
      <c r="G742" s="363"/>
      <c r="J742" s="382" t="s">
        <v>1304</v>
      </c>
      <c r="K742" s="368" t="str">
        <f>IF(ISNA(HLOOKUP("start",ESLData!C$1:C$9955,MATCH($A742,ESLData!$B$1:$B$9955,0))),"",HLOOKUP("start",ESLData!C$1:C$9955,MATCH($A742,ESLData!$B$1:$B$9955,0)))</f>
        <v/>
      </c>
    </row>
    <row r="743" spans="1:11" s="368" customFormat="1" ht="14.25" customHeight="1" x14ac:dyDescent="0.2">
      <c r="A743" s="364">
        <v>46320</v>
      </c>
      <c r="C743" s="363">
        <f>HLOOKUP("start",ESLData!E$1:E$9955,MATCH($A743,ESLData!$B$1:$B$9955,0))</f>
        <v>7065.06</v>
      </c>
      <c r="D743" s="400">
        <f>ROUND(C743,0)</f>
        <v>7065</v>
      </c>
      <c r="E743" s="363">
        <f>HLOOKUP("start",ESLData!F$1:F$9955,MATCH($A743,ESLData!$B$1:$B$9955,0))</f>
        <v>7000</v>
      </c>
      <c r="F743" s="381">
        <f>ROUND(E743,0)</f>
        <v>7000</v>
      </c>
      <c r="G743" s="363">
        <f>HLOOKUP("start",ESLData!H$1:H$9955,MATCH($A743,ESLData!$B$1:$B$9955,0))</f>
        <v>7963.1</v>
      </c>
      <c r="H743" s="400">
        <f>ROUND(G743,0)</f>
        <v>7963</v>
      </c>
      <c r="J743" s="382" t="s">
        <v>1304</v>
      </c>
      <c r="K743" s="368" t="str">
        <f>IF(ISNA(HLOOKUP("start",ESLData!C$1:C$9955,MATCH($A743,ESLData!$B$1:$B$9955,0))),"",HLOOKUP("start",ESLData!C$1:C$9955,MATCH($A743,ESLData!$B$1:$B$9955,0)))</f>
        <v>General</v>
      </c>
    </row>
    <row r="744" spans="1:11" s="368" customFormat="1" ht="14.25" customHeight="1" x14ac:dyDescent="0.2">
      <c r="A744" s="364"/>
      <c r="C744" s="363"/>
      <c r="E744" s="363"/>
      <c r="G744" s="363"/>
      <c r="J744" s="382" t="s">
        <v>1304</v>
      </c>
      <c r="K744" s="368" t="str">
        <f>IF(ISNA(HLOOKUP("start",ESLData!C$1:C$9955,MATCH($A744,ESLData!$B$1:$B$9955,0))),"",HLOOKUP("start",ESLData!C$1:C$9955,MATCH($A744,ESLData!$B$1:$B$9955,0)))</f>
        <v/>
      </c>
    </row>
    <row r="745" spans="1:11" s="368" customFormat="1" ht="14.25" customHeight="1" x14ac:dyDescent="0.2">
      <c r="A745" s="367" t="s">
        <v>606</v>
      </c>
      <c r="C745" s="363"/>
      <c r="D745" s="369"/>
      <c r="E745" s="363"/>
      <c r="F745" s="369"/>
      <c r="G745" s="363"/>
      <c r="H745" s="369"/>
      <c r="J745" s="382" t="s">
        <v>1304</v>
      </c>
      <c r="K745" s="368" t="str">
        <f>IF(ISNA(HLOOKUP("start",ESLData!C$1:C$9955,MATCH($A745,ESLData!$B$1:$B$9955,0))),"",HLOOKUP("start",ESLData!C$1:C$9955,MATCH($A745,ESLData!$B$1:$B$9955,0)))</f>
        <v/>
      </c>
    </row>
    <row r="746" spans="1:11" s="368" customFormat="1" ht="14.25" customHeight="1" x14ac:dyDescent="0.2">
      <c r="A746" s="364">
        <v>30690</v>
      </c>
      <c r="C746" s="363">
        <f>HLOOKUP("start",ESLData!E$1:E$9955,MATCH($A746,ESLData!$B$1:$B$9955,0))</f>
        <v>7933.21</v>
      </c>
      <c r="E746" s="363">
        <f>HLOOKUP("start",ESLData!F$1:F$9955,MATCH($A746,ESLData!$B$1:$B$9955,0))</f>
        <v>0</v>
      </c>
      <c r="G746" s="363">
        <f>HLOOKUP("start",ESLData!H$1:H$9955,MATCH($A746,ESLData!$B$1:$B$9955,0))</f>
        <v>16553.86</v>
      </c>
      <c r="H746" s="369"/>
      <c r="J746" s="382" t="s">
        <v>1304</v>
      </c>
      <c r="K746" s="368" t="str">
        <f>IF(ISNA(HLOOKUP("start",ESLData!C$1:C$9955,MATCH($A746,ESLData!$B$1:$B$9955,0))),"",HLOOKUP("start",ESLData!C$1:C$9955,MATCH($A746,ESLData!$B$1:$B$9955,0)))</f>
        <v>Tela Teachers Laptop Lease</v>
      </c>
    </row>
    <row r="747" spans="1:11" s="368" customFormat="1" ht="14.25" customHeight="1" x14ac:dyDescent="0.2">
      <c r="A747" s="364">
        <v>1999</v>
      </c>
      <c r="C747" s="363">
        <f>HLOOKUP("start",ESLData!E$1:E$9955,MATCH($A747,ESLData!$B$1:$B$9955,0))</f>
        <v>320</v>
      </c>
      <c r="E747" s="363">
        <f>HLOOKUP("start",ESLData!F$1:F$9955,MATCH($A747,ESLData!$B$1:$B$9955,0))</f>
        <v>0</v>
      </c>
      <c r="G747" s="363">
        <f>HLOOKUP("start",ESLData!H$1:H$9955,MATCH($A747,ESLData!$B$1:$B$9955,0))</f>
        <v>14720</v>
      </c>
      <c r="H747" s="369"/>
      <c r="J747" s="382" t="s">
        <v>1304</v>
      </c>
      <c r="K747" s="368" t="str">
        <f>IF(ISNA(HLOOKUP("start",ESLData!C$1:C$9955,MATCH($A747,ESLData!$B$1:$B$9955,0))),"",HLOOKUP("start",ESLData!C$1:C$9955,MATCH($A747,ESLData!$B$1:$B$9955,0)))</f>
        <v>MOE Portion Laptop leases</v>
      </c>
    </row>
    <row r="748" spans="1:11" s="368" customFormat="1" ht="14.25" customHeight="1" x14ac:dyDescent="0.2">
      <c r="A748" s="364">
        <v>3999</v>
      </c>
      <c r="C748" s="363">
        <f>HLOOKUP("start",ESLData!E$1:E$9955,MATCH($A748,ESLData!$B$1:$B$9955,0))</f>
        <v>0</v>
      </c>
      <c r="E748" s="363">
        <f>HLOOKUP("start",ESLData!F$1:F$9955,MATCH($A748,ESLData!$B$1:$B$9955,0))</f>
        <v>0</v>
      </c>
      <c r="G748" s="363">
        <f>HLOOKUP("start",ESLData!H$1:H$9955,MATCH($A748,ESLData!$B$1:$B$9955,0))</f>
        <v>0</v>
      </c>
      <c r="H748" s="369"/>
      <c r="J748" s="382" t="s">
        <v>1304</v>
      </c>
      <c r="K748" s="368" t="str">
        <f>IF(ISNA(HLOOKUP("start",ESLData!C$1:C$9955,MATCH($A748,ESLData!$B$1:$B$9955,0))),"",HLOOKUP("start",ESLData!C$1:C$9955,MATCH($A748,ESLData!$B$1:$B$9955,0)))</f>
        <v>MOE Portion Operation Lease</v>
      </c>
    </row>
    <row r="749" spans="1:11" s="368" customFormat="1" ht="14.25" customHeight="1" x14ac:dyDescent="0.2">
      <c r="A749" s="364">
        <v>30691</v>
      </c>
      <c r="C749" s="363">
        <f>HLOOKUP("start",ESLData!E$1:E$9955,MATCH($A749,ESLData!$B$1:$B$9955,0))</f>
        <v>0</v>
      </c>
      <c r="D749" s="400">
        <f>ROUND(SUM(C746:C749),0)</f>
        <v>8253</v>
      </c>
      <c r="E749" s="363">
        <f>HLOOKUP("start",ESLData!F$1:F$9955,MATCH($A749,ESLData!$B$1:$B$9955,0))</f>
        <v>0</v>
      </c>
      <c r="F749" s="381">
        <f>ROUND(SUM(E746:E749),0)</f>
        <v>0</v>
      </c>
      <c r="G749" s="363">
        <f>HLOOKUP("start",ESLData!H$1:H$9955,MATCH($A749,ESLData!$B$1:$B$9955,0))</f>
        <v>0</v>
      </c>
      <c r="H749" s="400">
        <f>ROUND(SUM(G746:G749),0)</f>
        <v>31274</v>
      </c>
      <c r="J749" s="382" t="s">
        <v>1304</v>
      </c>
      <c r="K749" s="368" t="str">
        <f>IF(ISNA(HLOOKUP("start",ESLData!C$1:C$9955,MATCH($A749,ESLData!$B$1:$B$9955,0))),"",HLOOKUP("start",ESLData!C$1:C$9955,MATCH($A749,ESLData!$B$1:$B$9955,0)))</f>
        <v>MOE PORTION Laptop lease</v>
      </c>
    </row>
    <row r="750" spans="1:11" s="380" customFormat="1" ht="14.25" customHeight="1" x14ac:dyDescent="0.2">
      <c r="A750" s="367" t="s">
        <v>59</v>
      </c>
      <c r="C750" s="378"/>
      <c r="D750" s="381"/>
      <c r="E750" s="378"/>
      <c r="F750" s="381"/>
      <c r="G750" s="378"/>
      <c r="H750" s="381"/>
      <c r="J750" s="382" t="s">
        <v>1304</v>
      </c>
      <c r="K750" s="368" t="str">
        <f>IF(ISNA(HLOOKUP("start",ESLData!C$1:C$9955,MATCH($A750,ESLData!$B$1:$B$9955,0))),"",HLOOKUP("start",ESLData!C$1:C$9955,MATCH($A750,ESLData!$B$1:$B$9955,0)))</f>
        <v/>
      </c>
    </row>
    <row r="751" spans="1:11" s="368" customFormat="1" ht="14.25" customHeight="1" x14ac:dyDescent="0.2">
      <c r="A751" s="364">
        <v>38090</v>
      </c>
      <c r="C751" s="363">
        <f>HLOOKUP("start",ESLData!E$1:E$9955,MATCH($A751,ESLData!$B$1:$B$9955,0))</f>
        <v>0</v>
      </c>
      <c r="E751" s="363">
        <f>HLOOKUP("start",ESLData!F$1:F$9955,MATCH($A751,ESLData!$B$1:$B$9955,0))</f>
        <v>0</v>
      </c>
      <c r="G751" s="363">
        <f>HLOOKUP("start",ESLData!H$1:H$9955,MATCH($A751,ESLData!$B$1:$B$9955,0))</f>
        <v>0</v>
      </c>
      <c r="I751" s="380"/>
      <c r="J751" s="382" t="s">
        <v>1304</v>
      </c>
      <c r="K751" s="368" t="str">
        <f>IF(ISNA(HLOOKUP("start",ESLData!C$1:C$9955,MATCH($A751,ESLData!$B$1:$B$9955,0))),"",HLOOKUP("start",ESLData!C$1:C$9955,MATCH($A751,ESLData!$B$1:$B$9955,0)))</f>
        <v>Legal Fees</v>
      </c>
    </row>
    <row r="752" spans="1:11" s="368" customFormat="1" ht="14.25" customHeight="1" x14ac:dyDescent="0.2">
      <c r="A752" s="364">
        <v>46660</v>
      </c>
      <c r="C752" s="363">
        <f>HLOOKUP("start",ESLData!E$1:E$9955,MATCH($A752,ESLData!$B$1:$B$9955,0))</f>
        <v>1524.4</v>
      </c>
      <c r="D752" s="400">
        <f>ROUND(SUM(C751:C752),0)</f>
        <v>1524</v>
      </c>
      <c r="E752" s="363">
        <f>HLOOKUP("start",ESLData!F$1:F$9955,MATCH($A752,ESLData!$B$1:$B$9955,0))</f>
        <v>0</v>
      </c>
      <c r="F752" s="381">
        <f>ROUND(SUM(E751:E752),0)</f>
        <v>0</v>
      </c>
      <c r="G752" s="363">
        <f>HLOOKUP("start",ESLData!H$1:H$9955,MATCH($A752,ESLData!$B$1:$B$9955,0))</f>
        <v>0</v>
      </c>
      <c r="H752" s="400">
        <f>ROUND(SUM(G751:G752),0)</f>
        <v>0</v>
      </c>
      <c r="J752" s="382" t="s">
        <v>1304</v>
      </c>
      <c r="K752" s="368" t="str">
        <f>IF(ISNA(HLOOKUP("start",ESLData!C$1:C$9955,MATCH($A752,ESLData!$B$1:$B$9955,0))),"",HLOOKUP("start",ESLData!C$1:C$9955,MATCH($A752,ESLData!$B$1:$B$9955,0)))</f>
        <v>Misc Service Centre Fees</v>
      </c>
    </row>
    <row r="753" spans="1:11" s="368" customFormat="1" ht="14.25" customHeight="1" x14ac:dyDescent="0.2">
      <c r="A753" s="367" t="s">
        <v>1290</v>
      </c>
      <c r="C753" s="363"/>
      <c r="E753" s="363"/>
      <c r="G753" s="363"/>
      <c r="J753" s="382" t="s">
        <v>1304</v>
      </c>
      <c r="K753" s="368" t="str">
        <f>IF(ISNA(HLOOKUP("start",ESLData!C$1:C$9955,MATCH($A753,ESLData!$B$1:$B$9955,0))),"",HLOOKUP("start",ESLData!C$1:C$9955,MATCH($A753,ESLData!$B$1:$B$9955,0)))</f>
        <v/>
      </c>
    </row>
    <row r="754" spans="1:11" s="368" customFormat="1" ht="14.25" customHeight="1" x14ac:dyDescent="0.2">
      <c r="A754" s="364">
        <v>35250</v>
      </c>
      <c r="C754" s="363">
        <f>HLOOKUP("start",ESLData!E$1:E$9955,MATCH($A754,ESLData!$B$1:$B$9955,0))</f>
        <v>0</v>
      </c>
      <c r="E754" s="363">
        <f>HLOOKUP("start",ESLData!F$1:F$9955,MATCH($A754,ESLData!$B$1:$B$9955,0))</f>
        <v>0</v>
      </c>
      <c r="G754" s="363">
        <f>HLOOKUP("start",ESLData!H$1:H$9955,MATCH($A754,ESLData!$B$1:$B$9955,0))</f>
        <v>0</v>
      </c>
      <c r="J754" s="382" t="s">
        <v>1304</v>
      </c>
      <c r="K754" s="368" t="str">
        <f>IF(ISNA(HLOOKUP("start",ESLData!C$1:C$9955,MATCH($A754,ESLData!$B$1:$B$9955,0))),"",HLOOKUP("start",ESLData!C$1:C$9955,MATCH($A754,ESLData!$B$1:$B$9955,0)))</f>
        <v>Courier</v>
      </c>
    </row>
    <row r="755" spans="1:11" s="375" customFormat="1" ht="14.25" customHeight="1" x14ac:dyDescent="0.2">
      <c r="A755" s="364">
        <v>38340</v>
      </c>
      <c r="B755" s="368"/>
      <c r="C755" s="363">
        <f>HLOOKUP("start",ESLData!E$1:E$9955,MATCH($A755,ESLData!$B$1:$B$9955,0))</f>
        <v>118.48</v>
      </c>
      <c r="D755" s="368"/>
      <c r="E755" s="363">
        <f>HLOOKUP("start",ESLData!F$1:F$9955,MATCH($A755,ESLData!$B$1:$B$9955,0))</f>
        <v>0</v>
      </c>
      <c r="F755" s="368"/>
      <c r="G755" s="363">
        <f>HLOOKUP("start",ESLData!H$1:H$9955,MATCH($A755,ESLData!$B$1:$B$9955,0))</f>
        <v>0</v>
      </c>
      <c r="H755" s="368"/>
      <c r="K755" s="368" t="str">
        <f>IF(ISNA(HLOOKUP("start",ESLData!C$1:C$9955,MATCH($A755,ESLData!$B$1:$B$9955,0))),"",HLOOKUP("start",ESLData!C$1:C$9955,MATCH($A755,ESLData!$B$1:$B$9955,0)))</f>
        <v>Stationery</v>
      </c>
    </row>
    <row r="756" spans="1:11" s="368" customFormat="1" ht="14.25" customHeight="1" x14ac:dyDescent="0.2">
      <c r="A756" s="364">
        <v>35253</v>
      </c>
      <c r="C756" s="363">
        <f>HLOOKUP("start",ESLData!E$1:E$9955,MATCH($A756,ESLData!$B$1:$B$9955,0))</f>
        <v>0</v>
      </c>
      <c r="E756" s="363">
        <f>HLOOKUP("start",ESLData!F$1:F$9955,MATCH($A756,ESLData!$B$1:$B$9955,0))</f>
        <v>0</v>
      </c>
      <c r="G756" s="363">
        <f>HLOOKUP("start",ESLData!H$1:H$9955,MATCH($A756,ESLData!$B$1:$B$9955,0))</f>
        <v>0</v>
      </c>
      <c r="J756" s="382" t="s">
        <v>1304</v>
      </c>
      <c r="K756" s="368" t="str">
        <f>IF(ISNA(HLOOKUP("start",ESLData!C$1:C$9955,MATCH($A756,ESLData!$B$1:$B$9955,0))),"",HLOOKUP("start",ESLData!C$1:C$9955,MATCH($A756,ESLData!$B$1:$B$9955,0)))</f>
        <v>Postage</v>
      </c>
    </row>
    <row r="757" spans="1:11" s="368" customFormat="1" ht="14.25" customHeight="1" x14ac:dyDescent="0.2">
      <c r="A757" s="364">
        <v>62050</v>
      </c>
      <c r="C757" s="363">
        <f>HLOOKUP("start",ESLData!E$1:E$9955,MATCH($A757,ESLData!$B$1:$B$9955,0))</f>
        <v>423.84</v>
      </c>
      <c r="E757" s="363">
        <f>HLOOKUP("start",ESLData!F$1:F$9955,MATCH($A757,ESLData!$B$1:$B$9955,0))</f>
        <v>250</v>
      </c>
      <c r="G757" s="363">
        <f>HLOOKUP("start",ESLData!H$1:H$9955,MATCH($A757,ESLData!$B$1:$B$9955,0))</f>
        <v>234.59</v>
      </c>
      <c r="J757" s="382" t="s">
        <v>1304</v>
      </c>
      <c r="K757" s="368" t="str">
        <f>IF(ISNA(HLOOKUP("start",ESLData!C$1:C$9955,MATCH($A757,ESLData!$B$1:$B$9955,0))),"",HLOOKUP("start",ESLData!C$1:C$9955,MATCH($A757,ESLData!$B$1:$B$9955,0)))</f>
        <v>Postage</v>
      </c>
    </row>
    <row r="758" spans="1:11" s="368" customFormat="1" ht="14.25" customHeight="1" x14ac:dyDescent="0.2">
      <c r="A758" s="364">
        <v>63000</v>
      </c>
      <c r="C758" s="363">
        <f>HLOOKUP("start",ESLData!E$1:E$9955,MATCH($A758,ESLData!$B$1:$B$9955,0))</f>
        <v>114.8</v>
      </c>
      <c r="E758" s="363">
        <f>HLOOKUP("start",ESLData!F$1:F$9955,MATCH($A758,ESLData!$B$1:$B$9955,0))</f>
        <v>200</v>
      </c>
      <c r="G758" s="363">
        <f>HLOOKUP("start",ESLData!H$1:H$9955,MATCH($A758,ESLData!$B$1:$B$9955,0))</f>
        <v>179.16</v>
      </c>
      <c r="J758" s="382" t="s">
        <v>1304</v>
      </c>
      <c r="K758" s="368" t="str">
        <f>IF(ISNA(HLOOKUP("start",ESLData!C$1:C$9955,MATCH($A758,ESLData!$B$1:$B$9955,0))),"",HLOOKUP("start",ESLData!C$1:C$9955,MATCH($A758,ESLData!$B$1:$B$9955,0)))</f>
        <v>Courier</v>
      </c>
    </row>
    <row r="759" spans="1:11" s="368" customFormat="1" ht="14.25" customHeight="1" x14ac:dyDescent="0.2">
      <c r="A759" s="364">
        <v>63050</v>
      </c>
      <c r="C759" s="363">
        <f>HLOOKUP("start",ESLData!E$1:E$9955,MATCH($A759,ESLData!$B$1:$B$9955,0))</f>
        <v>135.30000000000001</v>
      </c>
      <c r="E759" s="363">
        <f>HLOOKUP("start",ESLData!F$1:F$9955,MATCH($A759,ESLData!$B$1:$B$9955,0))</f>
        <v>300</v>
      </c>
      <c r="G759" s="363">
        <f>HLOOKUP("start",ESLData!H$1:H$9955,MATCH($A759,ESLData!$B$1:$B$9955,0))</f>
        <v>376.79</v>
      </c>
      <c r="J759" s="382" t="s">
        <v>1304</v>
      </c>
      <c r="K759" s="368" t="str">
        <f>IF(ISNA(HLOOKUP("start",ESLData!C$1:C$9955,MATCH($A759,ESLData!$B$1:$B$9955,0))),"",HLOOKUP("start",ESLData!C$1:C$9955,MATCH($A759,ESLData!$B$1:$B$9955,0)))</f>
        <v>Postage</v>
      </c>
    </row>
    <row r="760" spans="1:11" s="368" customFormat="1" ht="14.25" customHeight="1" x14ac:dyDescent="0.2">
      <c r="A760" s="364">
        <v>62000</v>
      </c>
      <c r="C760" s="363">
        <f>HLOOKUP("start",ESLData!E$1:E$9955,MATCH($A760,ESLData!$B$1:$B$9955,0))</f>
        <v>70.87</v>
      </c>
      <c r="E760" s="363">
        <f>HLOOKUP("start",ESLData!F$1:F$9955,MATCH($A760,ESLData!$B$1:$B$9955,0))</f>
        <v>250</v>
      </c>
      <c r="G760" s="363">
        <f>HLOOKUP("start",ESLData!H$1:H$9955,MATCH($A760,ESLData!$B$1:$B$9955,0))</f>
        <v>131.03</v>
      </c>
      <c r="I760" s="380"/>
      <c r="J760" s="382" t="s">
        <v>1304</v>
      </c>
      <c r="K760" s="368" t="str">
        <f>IF(ISNA(HLOOKUP("start",ESLData!C$1:C$9955,MATCH($A760,ESLData!$B$1:$B$9955,0))),"",HLOOKUP("start",ESLData!C$1:C$9955,MATCH($A760,ESLData!$B$1:$B$9955,0)))</f>
        <v>Courier</v>
      </c>
    </row>
    <row r="761" spans="1:11" s="368" customFormat="1" ht="14.25" customHeight="1" x14ac:dyDescent="0.2">
      <c r="A761" s="364">
        <v>37000</v>
      </c>
      <c r="C761" s="363">
        <f>HLOOKUP("start",ESLData!E$1:E$9955,MATCH($A761,ESLData!$B$1:$B$9955,0))</f>
        <v>142.96</v>
      </c>
      <c r="E761" s="363">
        <f>HLOOKUP("start",ESLData!F$1:F$9955,MATCH($A761,ESLData!$B$1:$B$9955,0))</f>
        <v>850</v>
      </c>
      <c r="G761" s="363">
        <f>HLOOKUP("start",ESLData!H$1:H$9955,MATCH($A761,ESLData!$B$1:$B$9955,0))</f>
        <v>188.32</v>
      </c>
      <c r="I761" s="370"/>
      <c r="J761" s="382" t="s">
        <v>1304</v>
      </c>
      <c r="K761" s="368" t="str">
        <f>IF(ISNA(HLOOKUP("start",ESLData!C$1:C$9955,MATCH($A761,ESLData!$B$1:$B$9955,0))),"",HLOOKUP("start",ESLData!C$1:C$9955,MATCH($A761,ESLData!$B$1:$B$9955,0)))</f>
        <v>Courier Nas</v>
      </c>
    </row>
    <row r="762" spans="1:11" s="368" customFormat="1" ht="14.25" customHeight="1" x14ac:dyDescent="0.2">
      <c r="A762" s="364">
        <v>37190</v>
      </c>
      <c r="C762" s="363">
        <f>HLOOKUP("start",ESLData!E$1:E$9955,MATCH($A762,ESLData!$B$1:$B$9955,0))</f>
        <v>938.89</v>
      </c>
      <c r="E762" s="363">
        <f>HLOOKUP("start",ESLData!F$1:F$9955,MATCH($A762,ESLData!$B$1:$B$9955,0))</f>
        <v>2000</v>
      </c>
      <c r="G762" s="363">
        <f>HLOOKUP("start",ESLData!H$1:H$9955,MATCH($A762,ESLData!$B$1:$B$9955,0))</f>
        <v>1660.64</v>
      </c>
      <c r="I762" s="370"/>
      <c r="J762" s="382" t="s">
        <v>1304</v>
      </c>
      <c r="K762" s="368" t="str">
        <f>IF(ISNA(HLOOKUP("start",ESLData!C$1:C$9955,MATCH($A762,ESLData!$B$1:$B$9955,0))),"",HLOOKUP("start",ESLData!C$1:C$9955,MATCH($A762,ESLData!$B$1:$B$9955,0)))</f>
        <v>Postage</v>
      </c>
    </row>
    <row r="763" spans="1:11" s="368" customFormat="1" ht="14.25" customHeight="1" x14ac:dyDescent="0.2">
      <c r="A763" s="364">
        <v>30705</v>
      </c>
      <c r="C763" s="363">
        <f>HLOOKUP("start",ESLData!E$1:E$9955,MATCH($A763,ESLData!$B$1:$B$9955,0))</f>
        <v>104.72</v>
      </c>
      <c r="E763" s="363">
        <f>HLOOKUP("start",ESLData!F$1:F$9955,MATCH($A763,ESLData!$B$1:$B$9955,0))</f>
        <v>450</v>
      </c>
      <c r="G763" s="363">
        <f>HLOOKUP("start",ESLData!H$1:H$9955,MATCH($A763,ESLData!$B$1:$B$9955,0))</f>
        <v>336</v>
      </c>
      <c r="J763" s="382" t="s">
        <v>1304</v>
      </c>
      <c r="K763" s="368" t="str">
        <f>IF(ISNA(HLOOKUP("start",ESLData!C$1:C$9955,MATCH($A763,ESLData!$B$1:$B$9955,0))),"",HLOOKUP("start",ESLData!C$1:C$9955,MATCH($A763,ESLData!$B$1:$B$9955,0)))</f>
        <v>Postage</v>
      </c>
    </row>
    <row r="764" spans="1:11" s="368" customFormat="1" ht="14.25" customHeight="1" x14ac:dyDescent="0.2">
      <c r="A764" s="364">
        <v>35300</v>
      </c>
      <c r="C764" s="363">
        <f>HLOOKUP("start",ESLData!E$1:E$9955,MATCH($A764,ESLData!$B$1:$B$9955,0))</f>
        <v>180.49</v>
      </c>
      <c r="E764" s="363">
        <f>HLOOKUP("start",ESLData!F$1:F$9955,MATCH($A764,ESLData!$B$1:$B$9955,0))</f>
        <v>400</v>
      </c>
      <c r="G764" s="363">
        <f>HLOOKUP("start",ESLData!H$1:H$9955,MATCH($A764,ESLData!$B$1:$B$9955,0))</f>
        <v>1299.19</v>
      </c>
      <c r="I764" s="370"/>
      <c r="J764" s="382" t="s">
        <v>1304</v>
      </c>
      <c r="K764" s="368" t="str">
        <f>IF(ISNA(HLOOKUP("start",ESLData!C$1:C$9955,MATCH($A764,ESLData!$B$1:$B$9955,0))),"",HLOOKUP("start",ESLData!C$1:C$9955,MATCH($A764,ESLData!$B$1:$B$9955,0)))</f>
        <v>Postage</v>
      </c>
    </row>
    <row r="765" spans="1:11" s="368" customFormat="1" ht="14.25" customHeight="1" x14ac:dyDescent="0.2">
      <c r="A765" s="364">
        <v>35100</v>
      </c>
      <c r="C765" s="363">
        <f>HLOOKUP("start",ESLData!E$1:E$9955,MATCH($A765,ESLData!$B$1:$B$9955,0))</f>
        <v>114.33</v>
      </c>
      <c r="E765" s="363">
        <f>HLOOKUP("start",ESLData!F$1:F$9955,MATCH($A765,ESLData!$B$1:$B$9955,0))</f>
        <v>100</v>
      </c>
      <c r="G765" s="363">
        <f>HLOOKUP("start",ESLData!H$1:H$9955,MATCH($A765,ESLData!$B$1:$B$9955,0))</f>
        <v>57.83</v>
      </c>
      <c r="I765" s="370"/>
      <c r="J765" s="382" t="s">
        <v>1304</v>
      </c>
      <c r="K765" s="368" t="str">
        <f>IF(ISNA(HLOOKUP("start",ESLData!C$1:C$9955,MATCH($A765,ESLData!$B$1:$B$9955,0))),"",HLOOKUP("start",ESLData!C$1:C$9955,MATCH($A765,ESLData!$B$1:$B$9955,0)))</f>
        <v>Courier</v>
      </c>
    </row>
    <row r="766" spans="1:11" s="368" customFormat="1" ht="14.25" customHeight="1" x14ac:dyDescent="0.2">
      <c r="A766" s="364">
        <v>35105</v>
      </c>
      <c r="C766" s="363">
        <f>HLOOKUP("start",ESLData!E$1:E$9955,MATCH($A766,ESLData!$B$1:$B$9955,0))</f>
        <v>309.22000000000003</v>
      </c>
      <c r="E766" s="363">
        <f>HLOOKUP("start",ESLData!F$1:F$9955,MATCH($A766,ESLData!$B$1:$B$9955,0))</f>
        <v>150</v>
      </c>
      <c r="G766" s="363">
        <f>HLOOKUP("start",ESLData!H$1:H$9955,MATCH($A766,ESLData!$B$1:$B$9955,0))</f>
        <v>151.83000000000001</v>
      </c>
      <c r="I766" s="370"/>
      <c r="J766" s="382" t="s">
        <v>1304</v>
      </c>
      <c r="K766" s="368" t="str">
        <f>IF(ISNA(HLOOKUP("start",ESLData!C$1:C$9955,MATCH($A766,ESLData!$B$1:$B$9955,0))),"",HLOOKUP("start",ESLData!C$1:C$9955,MATCH($A766,ESLData!$B$1:$B$9955,0)))</f>
        <v>Postage</v>
      </c>
    </row>
    <row r="767" spans="1:11" s="368" customFormat="1" ht="14.25" customHeight="1" x14ac:dyDescent="0.2">
      <c r="A767" s="364">
        <v>39001</v>
      </c>
      <c r="C767" s="363">
        <f>HLOOKUP("start",ESLData!E$1:E$9955,MATCH($A767,ESLData!$B$1:$B$9955,0))</f>
        <v>586.59</v>
      </c>
      <c r="E767" s="363">
        <f>HLOOKUP("start",ESLData!F$1:F$9955,MATCH($A767,ESLData!$B$1:$B$9955,0))</f>
        <v>500</v>
      </c>
      <c r="G767" s="363">
        <f>HLOOKUP("start",ESLData!H$1:H$9955,MATCH($A767,ESLData!$B$1:$B$9955,0))</f>
        <v>445.44</v>
      </c>
      <c r="H767" s="370"/>
      <c r="I767" s="370"/>
      <c r="J767" s="382" t="s">
        <v>1304</v>
      </c>
      <c r="K767" s="368" t="str">
        <f>IF(ISNA(HLOOKUP("start",ESLData!C$1:C$9955,MATCH($A767,ESLData!$B$1:$B$9955,0))),"",HLOOKUP("start",ESLData!C$1:C$9955,MATCH($A767,ESLData!$B$1:$B$9955,0)))</f>
        <v>Postage</v>
      </c>
    </row>
    <row r="768" spans="1:11" s="368" customFormat="1" ht="14.25" customHeight="1" x14ac:dyDescent="0.2">
      <c r="A768" s="364">
        <v>35600</v>
      </c>
      <c r="C768" s="363">
        <f>HLOOKUP("start",ESLData!E$1:E$9955,MATCH($A768,ESLData!$B$1:$B$9955,0))</f>
        <v>599.88</v>
      </c>
      <c r="E768" s="363">
        <f>HLOOKUP("start",ESLData!F$1:F$9955,MATCH($A768,ESLData!$B$1:$B$9955,0))</f>
        <v>500</v>
      </c>
      <c r="G768" s="363">
        <f>HLOOKUP("start",ESLData!H$1:H$9955,MATCH($A768,ESLData!$B$1:$B$9955,0))</f>
        <v>425.94</v>
      </c>
      <c r="I768" s="370"/>
      <c r="J768" s="382" t="s">
        <v>1304</v>
      </c>
      <c r="K768" s="368" t="str">
        <f>IF(ISNA(HLOOKUP("start",ESLData!C$1:C$9955,MATCH($A768,ESLData!$B$1:$B$9955,0))),"",HLOOKUP("start",ESLData!C$1:C$9955,MATCH($A768,ESLData!$B$1:$B$9955,0)))</f>
        <v>Postage</v>
      </c>
    </row>
    <row r="769" spans="1:11" s="368" customFormat="1" ht="14.25" customHeight="1" x14ac:dyDescent="0.2">
      <c r="A769" s="364">
        <v>39051</v>
      </c>
      <c r="C769" s="363">
        <f>HLOOKUP("start",ESLData!E$1:E$9955,MATCH($A769,ESLData!$B$1:$B$9955,0))</f>
        <v>1586.41</v>
      </c>
      <c r="E769" s="363">
        <f>HLOOKUP("start",ESLData!F$1:F$9955,MATCH($A769,ESLData!$B$1:$B$9955,0))</f>
        <v>1300</v>
      </c>
      <c r="G769" s="363">
        <f>HLOOKUP("start",ESLData!H$1:H$9955,MATCH($A769,ESLData!$B$1:$B$9955,0))</f>
        <v>1537.09</v>
      </c>
      <c r="I769" s="370"/>
      <c r="J769" s="382" t="s">
        <v>1304</v>
      </c>
      <c r="K769" s="368" t="str">
        <f>IF(ISNA(HLOOKUP("start",ESLData!C$1:C$9955,MATCH($A769,ESLData!$B$1:$B$9955,0))),"",HLOOKUP("start",ESLData!C$1:C$9955,MATCH($A769,ESLData!$B$1:$B$9955,0)))</f>
        <v>Postage</v>
      </c>
    </row>
    <row r="770" spans="1:11" s="368" customFormat="1" ht="14.25" customHeight="1" x14ac:dyDescent="0.2">
      <c r="A770" s="364">
        <v>39101</v>
      </c>
      <c r="C770" s="363">
        <f>HLOOKUP("start",ESLData!E$1:E$9955,MATCH($A770,ESLData!$B$1:$B$9955,0))</f>
        <v>334.12</v>
      </c>
      <c r="E770" s="363">
        <f>HLOOKUP("start",ESLData!F$1:F$9955,MATCH($A770,ESLData!$B$1:$B$9955,0))</f>
        <v>200</v>
      </c>
      <c r="G770" s="363">
        <f>HLOOKUP("start",ESLData!H$1:H$9955,MATCH($A770,ESLData!$B$1:$B$9955,0))</f>
        <v>118.11</v>
      </c>
      <c r="I770" s="370"/>
      <c r="J770" s="382" t="s">
        <v>1304</v>
      </c>
      <c r="K770" s="368" t="str">
        <f>IF(ISNA(HLOOKUP("start",ESLData!C$1:C$9955,MATCH($A770,ESLData!$B$1:$B$9955,0))),"",HLOOKUP("start",ESLData!C$1:C$9955,MATCH($A770,ESLData!$B$1:$B$9955,0)))</f>
        <v>Postage</v>
      </c>
    </row>
    <row r="771" spans="1:11" s="368" customFormat="1" ht="14.25" customHeight="1" x14ac:dyDescent="0.2">
      <c r="A771" s="364">
        <v>39201</v>
      </c>
      <c r="C771" s="363">
        <f>HLOOKUP("start",ESLData!E$1:E$9955,MATCH($A771,ESLData!$B$1:$B$9955,0))</f>
        <v>364.76</v>
      </c>
      <c r="E771" s="363">
        <f>HLOOKUP("start",ESLData!F$1:F$9955,MATCH($A771,ESLData!$B$1:$B$9955,0))</f>
        <v>200</v>
      </c>
      <c r="G771" s="363">
        <f>HLOOKUP("start",ESLData!H$1:H$9955,MATCH($A771,ESLData!$B$1:$B$9955,0))</f>
        <v>54.48</v>
      </c>
      <c r="I771" s="370"/>
      <c r="J771" s="382" t="s">
        <v>1304</v>
      </c>
      <c r="K771" s="368" t="str">
        <f>IF(ISNA(HLOOKUP("start",ESLData!C$1:C$9955,MATCH($A771,ESLData!$B$1:$B$9955,0))),"",HLOOKUP("start",ESLData!C$1:C$9955,MATCH($A771,ESLData!$B$1:$B$9955,0)))</f>
        <v>Postage</v>
      </c>
    </row>
    <row r="772" spans="1:11" s="368" customFormat="1" ht="14.25" customHeight="1" x14ac:dyDescent="0.2">
      <c r="A772" s="364">
        <v>39251</v>
      </c>
      <c r="C772" s="363">
        <f>HLOOKUP("start",ESLData!E$1:E$9955,MATCH($A772,ESLData!$B$1:$B$9955,0))</f>
        <v>648.75</v>
      </c>
      <c r="E772" s="363">
        <f>HLOOKUP("start",ESLData!F$1:F$9955,MATCH($A772,ESLData!$B$1:$B$9955,0))</f>
        <v>950</v>
      </c>
      <c r="G772" s="363">
        <f>HLOOKUP("start",ESLData!H$1:H$9955,MATCH($A772,ESLData!$B$1:$B$9955,0))</f>
        <v>757.59</v>
      </c>
      <c r="I772" s="370"/>
      <c r="J772" s="382" t="s">
        <v>1304</v>
      </c>
      <c r="K772" s="368" t="str">
        <f>IF(ISNA(HLOOKUP("start",ESLData!C$1:C$9955,MATCH($A772,ESLData!$B$1:$B$9955,0))),"",HLOOKUP("start",ESLData!C$1:C$9955,MATCH($A772,ESLData!$B$1:$B$9955,0)))</f>
        <v>Postage</v>
      </c>
    </row>
    <row r="773" spans="1:11" s="368" customFormat="1" ht="14.25" customHeight="1" x14ac:dyDescent="0.2">
      <c r="A773" s="364">
        <v>39301</v>
      </c>
      <c r="C773" s="363">
        <f>HLOOKUP("start",ESLData!E$1:E$9955,MATCH($A773,ESLData!$B$1:$B$9955,0))</f>
        <v>904.77</v>
      </c>
      <c r="E773" s="363">
        <f>HLOOKUP("start",ESLData!F$1:F$9955,MATCH($A773,ESLData!$B$1:$B$9955,0))</f>
        <v>1100</v>
      </c>
      <c r="G773" s="363">
        <f>HLOOKUP("start",ESLData!H$1:H$9955,MATCH($A773,ESLData!$B$1:$B$9955,0))</f>
        <v>465.59</v>
      </c>
      <c r="I773" s="370"/>
      <c r="J773" s="382" t="s">
        <v>1304</v>
      </c>
      <c r="K773" s="368" t="str">
        <f>IF(ISNA(HLOOKUP("start",ESLData!C$1:C$9955,MATCH($A773,ESLData!$B$1:$B$9955,0))),"",HLOOKUP("start",ESLData!C$1:C$9955,MATCH($A773,ESLData!$B$1:$B$9955,0)))</f>
        <v>Postage</v>
      </c>
    </row>
    <row r="774" spans="1:11" s="368" customFormat="1" ht="14.25" customHeight="1" x14ac:dyDescent="0.2">
      <c r="A774" s="364">
        <v>39351</v>
      </c>
      <c r="C774" s="363">
        <f>HLOOKUP("start",ESLData!E$1:E$9955,MATCH($A774,ESLData!$B$1:$B$9955,0))</f>
        <v>391.37</v>
      </c>
      <c r="E774" s="363">
        <f>HLOOKUP("start",ESLData!F$1:F$9955,MATCH($A774,ESLData!$B$1:$B$9955,0))</f>
        <v>250</v>
      </c>
      <c r="G774" s="363">
        <f>HLOOKUP("start",ESLData!H$1:H$9955,MATCH($A774,ESLData!$B$1:$B$9955,0))</f>
        <v>788.16</v>
      </c>
      <c r="I774" s="370"/>
      <c r="J774" s="382" t="s">
        <v>1304</v>
      </c>
      <c r="K774" s="368" t="str">
        <f>IF(ISNA(HLOOKUP("start",ESLData!C$1:C$9955,MATCH($A774,ESLData!$B$1:$B$9955,0))),"",HLOOKUP("start",ESLData!C$1:C$9955,MATCH($A774,ESLData!$B$1:$B$9955,0)))</f>
        <v>Postage</v>
      </c>
    </row>
    <row r="775" spans="1:11" s="368" customFormat="1" ht="14.25" customHeight="1" x14ac:dyDescent="0.2">
      <c r="A775" s="364">
        <v>39400</v>
      </c>
      <c r="C775" s="363">
        <f>HLOOKUP("start",ESLData!E$1:E$9955,MATCH($A775,ESLData!$B$1:$B$9955,0))</f>
        <v>323.45</v>
      </c>
      <c r="E775" s="363">
        <f>HLOOKUP("start",ESLData!F$1:F$9955,MATCH($A775,ESLData!$B$1:$B$9955,0))</f>
        <v>500</v>
      </c>
      <c r="G775" s="363">
        <f>HLOOKUP("start",ESLData!H$1:H$9955,MATCH($A775,ESLData!$B$1:$B$9955,0))</f>
        <v>514.77</v>
      </c>
      <c r="I775" s="370"/>
      <c r="J775" s="382" t="s">
        <v>1304</v>
      </c>
      <c r="K775" s="368" t="str">
        <f>IF(ISNA(HLOOKUP("start",ESLData!C$1:C$9955,MATCH($A775,ESLData!$B$1:$B$9955,0))),"",HLOOKUP("start",ESLData!C$1:C$9955,MATCH($A775,ESLData!$B$1:$B$9955,0)))</f>
        <v>Postage</v>
      </c>
    </row>
    <row r="776" spans="1:11" s="368" customFormat="1" ht="14.25" customHeight="1" x14ac:dyDescent="0.2">
      <c r="A776" s="364">
        <v>35865</v>
      </c>
      <c r="C776" s="363">
        <f>HLOOKUP("start",ESLData!E$1:E$9955,MATCH($A776,ESLData!$B$1:$B$9955,0))</f>
        <v>30.61</v>
      </c>
      <c r="E776" s="363">
        <f>HLOOKUP("start",ESLData!F$1:F$9955,MATCH($A776,ESLData!$B$1:$B$9955,0))</f>
        <v>100</v>
      </c>
      <c r="G776" s="363">
        <f>HLOOKUP("start",ESLData!H$1:H$9955,MATCH($A776,ESLData!$B$1:$B$9955,0))</f>
        <v>2.61</v>
      </c>
      <c r="I776" s="370"/>
      <c r="J776" s="382" t="s">
        <v>1304</v>
      </c>
      <c r="K776" s="368" t="str">
        <f>IF(ISNA(HLOOKUP("start",ESLData!C$1:C$9955,MATCH($A776,ESLData!$B$1:$B$9955,0))),"",HLOOKUP("start",ESLData!C$1:C$9955,MATCH($A776,ESLData!$B$1:$B$9955,0)))</f>
        <v>Postage / Courier</v>
      </c>
    </row>
    <row r="777" spans="1:11" s="368" customFormat="1" ht="14.25" customHeight="1" x14ac:dyDescent="0.2">
      <c r="A777" s="364">
        <v>46570</v>
      </c>
      <c r="C777" s="363">
        <f>HLOOKUP("start",ESLData!E$1:E$9955,MATCH($A777,ESLData!$B$1:$B$9955,0))</f>
        <v>0</v>
      </c>
      <c r="E777" s="363">
        <f>HLOOKUP("start",ESLData!F$1:F$9955,MATCH($A777,ESLData!$B$1:$B$9955,0))</f>
        <v>0</v>
      </c>
      <c r="G777" s="363">
        <f>HLOOKUP("start",ESLData!H$1:H$9955,MATCH($A777,ESLData!$B$1:$B$9955,0))</f>
        <v>0</v>
      </c>
      <c r="J777" s="382" t="s">
        <v>1304</v>
      </c>
      <c r="K777" s="368" t="str">
        <f>IF(ISNA(HLOOKUP("start",ESLData!C$1:C$9955,MATCH($A777,ESLData!$B$1:$B$9955,0))),"",HLOOKUP("start",ESLData!C$1:C$9955,MATCH($A777,ESLData!$B$1:$B$9955,0)))</f>
        <v>Expenses - Furn Grant New Scho</v>
      </c>
    </row>
    <row r="778" spans="1:11" s="368" customFormat="1" ht="14.25" customHeight="1" x14ac:dyDescent="0.2">
      <c r="A778" s="364">
        <v>46575</v>
      </c>
      <c r="C778" s="363">
        <f>HLOOKUP("start",ESLData!E$1:E$9955,MATCH($A778,ESLData!$B$1:$B$9955,0))</f>
        <v>0</v>
      </c>
      <c r="E778" s="363">
        <f>HLOOKUP("start",ESLData!F$1:F$9955,MATCH($A778,ESLData!$B$1:$B$9955,0))</f>
        <v>0</v>
      </c>
      <c r="G778" s="363">
        <f>HLOOKUP("start",ESLData!H$1:H$9955,MATCH($A778,ESLData!$B$1:$B$9955,0))</f>
        <v>0</v>
      </c>
      <c r="J778" s="382" t="s">
        <v>1304</v>
      </c>
      <c r="K778" s="368" t="str">
        <f>IF(ISNA(HLOOKUP("start",ESLData!C$1:C$9955,MATCH($A778,ESLData!$B$1:$B$9955,0))),"",HLOOKUP("start",ESLData!C$1:C$9955,MATCH($A778,ESLData!$B$1:$B$9955,0)))</f>
        <v>New School Expenses</v>
      </c>
    </row>
    <row r="779" spans="1:11" s="368" customFormat="1" ht="14.25" customHeight="1" x14ac:dyDescent="0.2">
      <c r="A779" s="364">
        <v>46680</v>
      </c>
      <c r="C779" s="363">
        <f>HLOOKUP("start",ESLData!E$1:E$9955,MATCH($A779,ESLData!$B$1:$B$9955,0))</f>
        <v>0</v>
      </c>
      <c r="E779" s="363">
        <f>HLOOKUP("start",ESLData!F$1:F$9955,MATCH($A779,ESLData!$B$1:$B$9955,0))</f>
        <v>0</v>
      </c>
      <c r="G779" s="363">
        <f>HLOOKUP("start",ESLData!H$1:H$9955,MATCH($A779,ESLData!$B$1:$B$9955,0))</f>
        <v>0</v>
      </c>
      <c r="J779" s="382" t="s">
        <v>1304</v>
      </c>
      <c r="K779" s="368" t="str">
        <f>IF(ISNA(HLOOKUP("start",ESLData!C$1:C$9955,MATCH($A779,ESLData!$B$1:$B$9955,0))),"",HLOOKUP("start",ESLData!C$1:C$9955,MATCH($A779,ESLData!$B$1:$B$9955,0)))</f>
        <v>Communication Strategy</v>
      </c>
    </row>
    <row r="780" spans="1:11" s="368" customFormat="1" ht="14.25" customHeight="1" x14ac:dyDescent="0.2">
      <c r="A780" s="364">
        <v>46220</v>
      </c>
      <c r="C780" s="363">
        <f>HLOOKUP("start",ESLData!E$1:E$9955,MATCH($A780,ESLData!$B$1:$B$9955,0))</f>
        <v>2066.6799999999998</v>
      </c>
      <c r="D780" s="369"/>
      <c r="E780" s="363">
        <f>HLOOKUP("start",ESLData!F$1:F$9955,MATCH($A780,ESLData!$B$1:$B$9955,0))</f>
        <v>2500</v>
      </c>
      <c r="F780" s="369"/>
      <c r="G780" s="363">
        <f>HLOOKUP("start",ESLData!H$1:H$9955,MATCH($A780,ESLData!$B$1:$B$9955,0))</f>
        <v>2308.83</v>
      </c>
      <c r="H780" s="369"/>
      <c r="J780" s="382" t="s">
        <v>1304</v>
      </c>
      <c r="K780" s="368" t="str">
        <f>IF(ISNA(HLOOKUP("start",ESLData!C$1:C$9955,MATCH($A780,ESLData!$B$1:$B$9955,0))),"",HLOOKUP("start",ESLData!C$1:C$9955,MATCH($A780,ESLData!$B$1:$B$9955,0)))</f>
        <v>Courier</v>
      </c>
    </row>
    <row r="781" spans="1:11" s="368" customFormat="1" ht="14.25" customHeight="1" x14ac:dyDescent="0.2">
      <c r="A781" s="364">
        <v>46240</v>
      </c>
      <c r="C781" s="363">
        <f>HLOOKUP("start",ESLData!E$1:E$9955,MATCH($A781,ESLData!$B$1:$B$9955,0))</f>
        <v>6299.37</v>
      </c>
      <c r="D781" s="369"/>
      <c r="E781" s="363">
        <f>HLOOKUP("start",ESLData!F$1:F$9955,MATCH($A781,ESLData!$B$1:$B$9955,0))</f>
        <v>4600</v>
      </c>
      <c r="F781" s="369"/>
      <c r="G781" s="363">
        <f>HLOOKUP("start",ESLData!H$1:H$9955,MATCH($A781,ESLData!$B$1:$B$9955,0))</f>
        <v>4689.1899999999996</v>
      </c>
      <c r="H781" s="369"/>
      <c r="J781" s="382" t="s">
        <v>1304</v>
      </c>
      <c r="K781" s="368" t="str">
        <f>IF(ISNA(HLOOKUP("start",ESLData!C$1:C$9955,MATCH($A781,ESLData!$B$1:$B$9955,0))),"",HLOOKUP("start",ESLData!C$1:C$9955,MATCH($A781,ESLData!$B$1:$B$9955,0)))</f>
        <v>Postage</v>
      </c>
    </row>
    <row r="782" spans="1:11" s="368" customFormat="1" ht="14.25" customHeight="1" x14ac:dyDescent="0.2">
      <c r="A782" s="364">
        <v>46360</v>
      </c>
      <c r="C782" s="363">
        <f>HLOOKUP("start",ESLData!E$1:E$9955,MATCH($A782,ESLData!$B$1:$B$9955,0))</f>
        <v>-2624.32</v>
      </c>
      <c r="E782" s="363">
        <f>HLOOKUP("start",ESLData!F$1:F$9955,MATCH($A782,ESLData!$B$1:$B$9955,0))</f>
        <v>3000</v>
      </c>
      <c r="G782" s="363">
        <f>HLOOKUP("start",ESLData!H$1:H$9955,MATCH($A782,ESLData!$B$1:$B$9955,0))</f>
        <v>-1381.31</v>
      </c>
      <c r="J782" s="382" t="s">
        <v>1304</v>
      </c>
      <c r="K782" s="368" t="str">
        <f>IF(ISNA(HLOOKUP("start",ESLData!C$1:C$9955,MATCH($A782,ESLData!$B$1:$B$9955,0))),"",HLOOKUP("start",ESLData!C$1:C$9955,MATCH($A782,ESLData!$B$1:$B$9955,0)))</f>
        <v>Photocopying</v>
      </c>
    </row>
    <row r="783" spans="1:11" s="368" customFormat="1" ht="14.25" customHeight="1" x14ac:dyDescent="0.2">
      <c r="A783" s="364">
        <v>46380</v>
      </c>
      <c r="C783" s="363">
        <f>HLOOKUP("start",ESLData!E$1:E$9955,MATCH($A783,ESLData!$B$1:$B$9955,0))</f>
        <v>0</v>
      </c>
      <c r="E783" s="363">
        <f>HLOOKUP("start",ESLData!F$1:F$9955,MATCH($A783,ESLData!$B$1:$B$9955,0))</f>
        <v>350</v>
      </c>
      <c r="G783" s="363">
        <f>HLOOKUP("start",ESLData!H$1:H$9955,MATCH($A783,ESLData!$B$1:$B$9955,0))</f>
        <v>0</v>
      </c>
      <c r="J783" s="382" t="s">
        <v>1304</v>
      </c>
      <c r="K783" s="368" t="str">
        <f>IF(ISNA(HLOOKUP("start",ESLData!C$1:C$9955,MATCH($A783,ESLData!$B$1:$B$9955,0))),"",HLOOKUP("start",ESLData!C$1:C$9955,MATCH($A783,ESLData!$B$1:$B$9955,0)))</f>
        <v>R&amp;M - Office Equipment</v>
      </c>
    </row>
    <row r="784" spans="1:11" s="368" customFormat="1" ht="14.25" customHeight="1" x14ac:dyDescent="0.2">
      <c r="A784" s="364">
        <v>46400</v>
      </c>
      <c r="C784" s="363">
        <f>HLOOKUP("start",ESLData!E$1:E$9955,MATCH($A784,ESLData!$B$1:$B$9955,0))</f>
        <v>3141.01</v>
      </c>
      <c r="E784" s="363">
        <f>HLOOKUP("start",ESLData!F$1:F$9955,MATCH($A784,ESLData!$B$1:$B$9955,0))</f>
        <v>4000</v>
      </c>
      <c r="G784" s="363">
        <f>HLOOKUP("start",ESLData!H$1:H$9955,MATCH($A784,ESLData!$B$1:$B$9955,0))</f>
        <v>3693.85</v>
      </c>
      <c r="J784" s="382" t="s">
        <v>1304</v>
      </c>
      <c r="K784" s="368" t="str">
        <f>IF(ISNA(HLOOKUP("start",ESLData!C$1:C$9955,MATCH($A784,ESLData!$B$1:$B$9955,0))),"",HLOOKUP("start",ESLData!C$1:C$9955,MATCH($A784,ESLData!$B$1:$B$9955,0)))</f>
        <v>Stationery/Printing</v>
      </c>
    </row>
    <row r="785" spans="1:13" s="368" customFormat="1" ht="14.25" customHeight="1" x14ac:dyDescent="0.2">
      <c r="A785" s="364">
        <v>46401</v>
      </c>
      <c r="C785" s="363">
        <f>HLOOKUP("start",ESLData!E$1:E$9955,MATCH($A785,ESLData!$B$1:$B$9955,0))</f>
        <v>487.7</v>
      </c>
      <c r="D785" s="369"/>
      <c r="E785" s="363">
        <f>HLOOKUP("start",ESLData!F$1:F$9955,MATCH($A785,ESLData!$B$1:$B$9955,0))</f>
        <v>500</v>
      </c>
      <c r="F785" s="369"/>
      <c r="G785" s="363">
        <f>HLOOKUP("start",ESLData!H$1:H$9955,MATCH($A785,ESLData!$B$1:$B$9955,0))</f>
        <v>334.86</v>
      </c>
      <c r="H785" s="369"/>
      <c r="J785" s="382" t="s">
        <v>1304</v>
      </c>
      <c r="K785" s="368" t="str">
        <f>IF(ISNA(HLOOKUP("start",ESLData!C$1:C$9955,MATCH($A785,ESLData!$B$1:$B$9955,0))),"",HLOOKUP("start",ESLData!C$1:C$9955,MATCH($A785,ESLData!$B$1:$B$9955,0)))</f>
        <v>Publications</v>
      </c>
    </row>
    <row r="786" spans="1:13" s="368" customFormat="1" ht="14.25" customHeight="1" x14ac:dyDescent="0.2">
      <c r="A786" s="364">
        <v>46520</v>
      </c>
      <c r="C786" s="363">
        <f>HLOOKUP("start",ESLData!E$1:E$9955,MATCH($A786,ESLData!$B$1:$B$9955,0))</f>
        <v>0</v>
      </c>
      <c r="E786" s="363">
        <f>HLOOKUP("start",ESLData!F$1:F$9955,MATCH($A786,ESLData!$B$1:$B$9955,0))</f>
        <v>100</v>
      </c>
      <c r="G786" s="363">
        <f>HLOOKUP("start",ESLData!H$1:H$9955,MATCH($A786,ESLData!$B$1:$B$9955,0))</f>
        <v>7.92</v>
      </c>
      <c r="J786" s="382" t="s">
        <v>1304</v>
      </c>
      <c r="K786" s="368" t="str">
        <f>IF(ISNA(HLOOKUP("start",ESLData!C$1:C$9955,MATCH($A786,ESLData!$B$1:$B$9955,0))),"",HLOOKUP("start",ESLData!C$1:C$9955,MATCH($A786,ESLData!$B$1:$B$9955,0)))</f>
        <v>Bank Charges</v>
      </c>
    </row>
    <row r="787" spans="1:13" s="368" customFormat="1" ht="14.25" customHeight="1" x14ac:dyDescent="0.2">
      <c r="A787" s="364">
        <v>46640</v>
      </c>
      <c r="C787" s="363">
        <f>HLOOKUP("start",ESLData!E$1:E$9955,MATCH($A787,ESLData!$B$1:$B$9955,0))</f>
        <v>22719.4</v>
      </c>
      <c r="E787" s="363">
        <f>HLOOKUP("start",ESLData!F$1:F$9955,MATCH($A787,ESLData!$B$1:$B$9955,0))</f>
        <v>18500</v>
      </c>
      <c r="G787" s="363">
        <f>HLOOKUP("start",ESLData!H$1:H$9955,MATCH($A787,ESLData!$B$1:$B$9955,0))</f>
        <v>24711.8</v>
      </c>
      <c r="J787" s="382" t="s">
        <v>1304</v>
      </c>
      <c r="K787" s="368" t="str">
        <f>IF(ISNA(HLOOKUP("start",ESLData!C$1:C$9955,MATCH($A787,ESLData!$B$1:$B$9955,0))),"",HLOOKUP("start",ESLData!C$1:C$9955,MATCH($A787,ESLData!$B$1:$B$9955,0)))</f>
        <v>Principals Expenses</v>
      </c>
    </row>
    <row r="788" spans="1:13" s="368" customFormat="1" ht="14.25" customHeight="1" x14ac:dyDescent="0.2">
      <c r="A788" s="364">
        <v>46670</v>
      </c>
      <c r="C788" s="363">
        <f>HLOOKUP("start",ESLData!E$1:E$9955,MATCH($A788,ESLData!$B$1:$B$9955,0))</f>
        <v>2328.84</v>
      </c>
      <c r="E788" s="363">
        <f>HLOOKUP("start",ESLData!F$1:F$9955,MATCH($A788,ESLData!$B$1:$B$9955,0))</f>
        <v>850</v>
      </c>
      <c r="G788" s="363">
        <f>HLOOKUP("start",ESLData!H$1:H$9955,MATCH($A788,ESLData!$B$1:$B$9955,0))</f>
        <v>1632.85</v>
      </c>
      <c r="J788" s="382" t="s">
        <v>1304</v>
      </c>
      <c r="K788" s="368" t="str">
        <f>IF(ISNA(HLOOKUP("start",ESLData!C$1:C$9955,MATCH($A788,ESLData!$B$1:$B$9955,0))),"",HLOOKUP("start",ESLData!C$1:C$9955,MATCH($A788,ESLData!$B$1:$B$9955,0)))</f>
        <v>Sector Forums</v>
      </c>
      <c r="M788" s="370" t="s">
        <v>1014</v>
      </c>
    </row>
    <row r="789" spans="1:13" s="368" customFormat="1" ht="14.25" customHeight="1" x14ac:dyDescent="0.2">
      <c r="A789" s="364">
        <v>46685</v>
      </c>
      <c r="C789" s="363">
        <f>HLOOKUP("start",ESLData!E$1:E$9955,MATCH($A789,ESLData!$B$1:$B$9955,0))</f>
        <v>4439.76</v>
      </c>
      <c r="E789" s="363">
        <f>HLOOKUP("start",ESLData!F$1:F$9955,MATCH($A789,ESLData!$B$1:$B$9955,0))</f>
        <v>5000</v>
      </c>
      <c r="G789" s="363">
        <f>HLOOKUP("start",ESLData!H$1:H$9955,MATCH($A789,ESLData!$B$1:$B$9955,0))</f>
        <v>1768.64</v>
      </c>
      <c r="J789" s="382" t="s">
        <v>1304</v>
      </c>
      <c r="K789" s="368" t="str">
        <f>IF(ISNA(HLOOKUP("start",ESLData!C$1:C$9955,MATCH($A789,ESLData!$B$1:$B$9955,0))),"",HLOOKUP("start",ESLData!C$1:C$9955,MATCH($A789,ESLData!$B$1:$B$9955,0)))</f>
        <v>Senior Management Team Expense</v>
      </c>
    </row>
    <row r="790" spans="1:13" s="368" customFormat="1" ht="14.25" customHeight="1" x14ac:dyDescent="0.2">
      <c r="A790" s="364">
        <v>46690</v>
      </c>
      <c r="C790" s="363">
        <f>HLOOKUP("start",ESLData!E$1:E$9955,MATCH($A790,ESLData!$B$1:$B$9955,0))</f>
        <v>8945.49</v>
      </c>
      <c r="D790" s="369"/>
      <c r="E790" s="363">
        <f>HLOOKUP("start",ESLData!F$1:F$9955,MATCH($A790,ESLData!$B$1:$B$9955,0))</f>
        <v>5000</v>
      </c>
      <c r="F790" s="369"/>
      <c r="G790" s="363">
        <f>HLOOKUP("start",ESLData!H$1:H$9955,MATCH($A790,ESLData!$B$1:$B$9955,0))</f>
        <v>2821.25</v>
      </c>
      <c r="H790" s="369"/>
      <c r="J790" s="382" t="s">
        <v>1304</v>
      </c>
      <c r="K790" s="368" t="str">
        <f>IF(ISNA(HLOOKUP("start",ESLData!C$1:C$9955,MATCH($A790,ESLData!$B$1:$B$9955,0))),"",HLOOKUP("start",ESLData!C$1:C$9955,MATCH($A790,ESLData!$B$1:$B$9955,0)))</f>
        <v>Health &amp; Safety</v>
      </c>
    </row>
    <row r="791" spans="1:13" s="368" customFormat="1" ht="14.25" customHeight="1" x14ac:dyDescent="0.2">
      <c r="A791" s="364">
        <v>46785</v>
      </c>
      <c r="C791" s="363">
        <f>HLOOKUP("start",ESLData!E$1:E$9955,MATCH($A791,ESLData!$B$1:$B$9955,0))</f>
        <v>87479.71</v>
      </c>
      <c r="E791" s="363">
        <f>HLOOKUP("start",ESLData!F$1:F$9955,MATCH($A791,ESLData!$B$1:$B$9955,0))</f>
        <v>108500</v>
      </c>
      <c r="G791" s="363">
        <f>HLOOKUP("start",ESLData!H$1:H$9955,MATCH($A791,ESLData!$B$1:$B$9955,0))</f>
        <v>12644.78</v>
      </c>
      <c r="I791" s="370"/>
      <c r="J791" s="382" t="s">
        <v>1304</v>
      </c>
      <c r="K791" s="368" t="str">
        <f>IF(ISNA(HLOOKUP("start",ESLData!C$1:C$9955,MATCH($A791,ESLData!$B$1:$B$9955,0))),"",HLOOKUP("start",ESLData!C$1:C$9955,MATCH($A791,ESLData!$B$1:$B$9955,0)))</f>
        <v>Resource Mgmt Project</v>
      </c>
    </row>
    <row r="792" spans="1:13" s="368" customFormat="1" ht="14.25" customHeight="1" x14ac:dyDescent="0.2">
      <c r="A792" s="364">
        <v>46820</v>
      </c>
      <c r="C792" s="363">
        <f>HLOOKUP("start",ESLData!E$1:E$9955,MATCH($A792,ESLData!$B$1:$B$9955,0))</f>
        <v>571.84</v>
      </c>
      <c r="E792" s="363">
        <f>HLOOKUP("start",ESLData!F$1:F$9955,MATCH($A792,ESLData!$B$1:$B$9955,0))</f>
        <v>500</v>
      </c>
      <c r="G792" s="363">
        <f>HLOOKUP("start",ESLData!H$1:H$9955,MATCH($A792,ESLData!$B$1:$B$9955,0))</f>
        <v>0</v>
      </c>
      <c r="J792" s="382" t="s">
        <v>1304</v>
      </c>
      <c r="K792" s="368" t="str">
        <f>IF(ISNA(HLOOKUP("start",ESLData!C$1:C$9955,MATCH($A792,ESLData!$B$1:$B$9955,0))),"",HLOOKUP("start",ESLData!C$1:C$9955,MATCH($A792,ESLData!$B$1:$B$9955,0)))</f>
        <v>Recruitment - Admin Staff</v>
      </c>
    </row>
    <row r="793" spans="1:13" s="368" customFormat="1" ht="14.25" customHeight="1" x14ac:dyDescent="0.2">
      <c r="A793" s="364">
        <v>46760</v>
      </c>
      <c r="C793" s="363">
        <f>HLOOKUP("start",ESLData!E$1:E$9955,MATCH($A793,ESLData!$B$1:$B$9955,0))</f>
        <v>1387.5</v>
      </c>
      <c r="E793" s="363">
        <f>HLOOKUP("start",ESLData!F$1:F$9955,MATCH($A793,ESLData!$B$1:$B$9955,0))</f>
        <v>1850</v>
      </c>
      <c r="G793" s="363">
        <f>HLOOKUP("start",ESLData!H$1:H$9955,MATCH($A793,ESLData!$B$1:$B$9955,0))</f>
        <v>1064</v>
      </c>
      <c r="J793" s="382" t="s">
        <v>1304</v>
      </c>
      <c r="K793" s="368" t="str">
        <f>IF(ISNA(HLOOKUP("start",ESLData!C$1:C$9955,MATCH($A793,ESLData!$B$1:$B$9955,0))),"",HLOOKUP("start",ESLData!C$1:C$9955,MATCH($A793,ESLData!$B$1:$B$9955,0)))</f>
        <v>Vehicle Leases</v>
      </c>
    </row>
    <row r="794" spans="1:13" s="368" customFormat="1" ht="14.25" customHeight="1" x14ac:dyDescent="0.2">
      <c r="A794" s="364">
        <v>46765</v>
      </c>
      <c r="C794" s="363">
        <f>HLOOKUP("start",ESLData!E$1:E$9955,MATCH($A794,ESLData!$B$1:$B$9955,0))</f>
        <v>404.54</v>
      </c>
      <c r="E794" s="363">
        <f>HLOOKUP("start",ESLData!F$1:F$9955,MATCH($A794,ESLData!$B$1:$B$9955,0))</f>
        <v>465</v>
      </c>
      <c r="G794" s="363">
        <f>HLOOKUP("start",ESLData!H$1:H$9955,MATCH($A794,ESLData!$B$1:$B$9955,0))</f>
        <v>198.63</v>
      </c>
      <c r="J794" s="382" t="s">
        <v>1304</v>
      </c>
      <c r="K794" s="368" t="str">
        <f>IF(ISNA(HLOOKUP("start",ESLData!C$1:C$9955,MATCH($A794,ESLData!$B$1:$B$9955,0))),"",HLOOKUP("start",ESLData!C$1:C$9955,MATCH($A794,ESLData!$B$1:$B$9955,0)))</f>
        <v>Insurance</v>
      </c>
    </row>
    <row r="795" spans="1:13" s="368" customFormat="1" ht="14.25" customHeight="1" x14ac:dyDescent="0.2">
      <c r="A795" s="364">
        <v>46770</v>
      </c>
      <c r="C795" s="363">
        <f>HLOOKUP("start",ESLData!E$1:E$9955,MATCH($A795,ESLData!$B$1:$B$9955,0))</f>
        <v>147.07</v>
      </c>
      <c r="E795" s="363">
        <f>HLOOKUP("start",ESLData!F$1:F$9955,MATCH($A795,ESLData!$B$1:$B$9955,0))</f>
        <v>300</v>
      </c>
      <c r="G795" s="363">
        <f>HLOOKUP("start",ESLData!H$1:H$9955,MATCH($A795,ESLData!$B$1:$B$9955,0))</f>
        <v>113.98</v>
      </c>
      <c r="J795" s="382" t="s">
        <v>1304</v>
      </c>
      <c r="K795" s="368" t="str">
        <f>IF(ISNA(HLOOKUP("start",ESLData!C$1:C$9955,MATCH($A795,ESLData!$B$1:$B$9955,0))),"",HLOOKUP("start",ESLData!C$1:C$9955,MATCH($A795,ESLData!$B$1:$B$9955,0)))</f>
        <v>Petrol</v>
      </c>
    </row>
    <row r="796" spans="1:13" s="368" customFormat="1" ht="14.25" customHeight="1" x14ac:dyDescent="0.2">
      <c r="A796" s="364">
        <v>46775</v>
      </c>
      <c r="C796" s="363">
        <f>HLOOKUP("start",ESLData!E$1:E$9955,MATCH($A796,ESLData!$B$1:$B$9955,0))</f>
        <v>21.46</v>
      </c>
      <c r="E796" s="363">
        <f>HLOOKUP("start",ESLData!F$1:F$9955,MATCH($A796,ESLData!$B$1:$B$9955,0))</f>
        <v>250</v>
      </c>
      <c r="G796" s="363">
        <f>HLOOKUP("start",ESLData!H$1:H$9955,MATCH($A796,ESLData!$B$1:$B$9955,0))</f>
        <v>0</v>
      </c>
      <c r="J796" s="382" t="s">
        <v>1304</v>
      </c>
      <c r="K796" s="368" t="str">
        <f>IF(ISNA(HLOOKUP("start",ESLData!C$1:C$9955,MATCH($A796,ESLData!$B$1:$B$9955,0))),"",HLOOKUP("start",ESLData!C$1:C$9955,MATCH($A796,ESLData!$B$1:$B$9955,0)))</f>
        <v>Registration</v>
      </c>
    </row>
    <row r="797" spans="1:13" s="368" customFormat="1" ht="14.25" customHeight="1" x14ac:dyDescent="0.2">
      <c r="A797" s="364">
        <v>46780</v>
      </c>
      <c r="C797" s="363">
        <f>HLOOKUP("start",ESLData!E$1:E$9955,MATCH($A797,ESLData!$B$1:$B$9955,0))</f>
        <v>256.35000000000002</v>
      </c>
      <c r="D797" s="369"/>
      <c r="E797" s="363">
        <f>HLOOKUP("start",ESLData!F$1:F$9955,MATCH($A797,ESLData!$B$1:$B$9955,0))</f>
        <v>250</v>
      </c>
      <c r="F797" s="369"/>
      <c r="G797" s="363">
        <f>HLOOKUP("start",ESLData!H$1:H$9955,MATCH($A797,ESLData!$B$1:$B$9955,0))</f>
        <v>122.63</v>
      </c>
      <c r="H797" s="369"/>
      <c r="J797" s="382" t="s">
        <v>1304</v>
      </c>
      <c r="K797" s="368" t="str">
        <f>IF(ISNA(HLOOKUP("start",ESLData!C$1:C$9955,MATCH($A797,ESLData!$B$1:$B$9955,0))),"",HLOOKUP("start",ESLData!C$1:C$9955,MATCH($A797,ESLData!$B$1:$B$9955,0)))</f>
        <v>Repairs &amp; Maintenance</v>
      </c>
    </row>
    <row r="798" spans="1:13" s="368" customFormat="1" ht="14.25" customHeight="1" x14ac:dyDescent="0.2">
      <c r="A798" s="364">
        <v>46560</v>
      </c>
      <c r="C798" s="363">
        <f>HLOOKUP("start",ESLData!E$1:E$9955,MATCH($A798,ESLData!$B$1:$B$9955,0))</f>
        <v>816.88</v>
      </c>
      <c r="E798" s="363">
        <f>HLOOKUP("start",ESLData!F$1:F$9955,MATCH($A798,ESLData!$B$1:$B$9955,0))</f>
        <v>0</v>
      </c>
      <c r="G798" s="363">
        <f>HLOOKUP("start",ESLData!H$1:H$9955,MATCH($A798,ESLData!$B$1:$B$9955,0))</f>
        <v>0</v>
      </c>
      <c r="J798" s="382" t="s">
        <v>1304</v>
      </c>
      <c r="K798" s="368" t="str">
        <f>IF(ISNA(HLOOKUP("start",ESLData!C$1:C$9955,MATCH($A798,ESLData!$B$1:$B$9955,0))),"",HLOOKUP("start",ESLData!C$1:C$9955,MATCH($A798,ESLData!$B$1:$B$9955,0)))</f>
        <v>General</v>
      </c>
    </row>
    <row r="799" spans="1:13" s="368" customFormat="1" ht="14.25" customHeight="1" x14ac:dyDescent="0.2">
      <c r="A799" s="364">
        <v>46650</v>
      </c>
      <c r="C799" s="363">
        <f>HLOOKUP("start",ESLData!E$1:E$9955,MATCH($A799,ESLData!$B$1:$B$9955,0))</f>
        <v>0</v>
      </c>
      <c r="E799" s="363">
        <f>HLOOKUP("start",ESLData!F$1:F$9955,MATCH($A799,ESLData!$B$1:$B$9955,0))</f>
        <v>0</v>
      </c>
      <c r="G799" s="363">
        <f>HLOOKUP("start",ESLData!H$1:H$9955,MATCH($A799,ESLData!$B$1:$B$9955,0))</f>
        <v>0</v>
      </c>
      <c r="J799" s="382" t="s">
        <v>1304</v>
      </c>
      <c r="K799" s="368" t="str">
        <f>IF(ISNA(HLOOKUP("start",ESLData!C$1:C$9955,MATCH($A799,ESLData!$B$1:$B$9955,0))),"",HLOOKUP("start",ESLData!C$1:C$9955,MATCH($A799,ESLData!$B$1:$B$9955,0)))</f>
        <v>On-Line Charges</v>
      </c>
    </row>
    <row r="800" spans="1:13" s="368" customFormat="1" ht="14.25" customHeight="1" x14ac:dyDescent="0.2">
      <c r="A800" s="364">
        <v>38936</v>
      </c>
      <c r="C800" s="363">
        <f>HLOOKUP("start",ESLData!E$1:E$9955,MATCH($A800,ESLData!$B$1:$B$9955,0))</f>
        <v>491.81</v>
      </c>
      <c r="E800" s="363">
        <f>HLOOKUP("start",ESLData!F$1:F$9955,MATCH($A800,ESLData!$B$1:$B$9955,0))</f>
        <v>1000</v>
      </c>
      <c r="G800" s="363">
        <f>HLOOKUP("start",ESLData!H$1:H$9955,MATCH($A800,ESLData!$B$1:$B$9955,0))</f>
        <v>595.45000000000005</v>
      </c>
      <c r="J800" s="382" t="s">
        <v>1304</v>
      </c>
      <c r="K800" s="368" t="str">
        <f>IF(ISNA(HLOOKUP("start",ESLData!C$1:C$9955,MATCH($A800,ESLData!$B$1:$B$9955,0))),"",HLOOKUP("start",ESLData!C$1:C$9955,MATCH($A800,ESLData!$B$1:$B$9955,0)))</f>
        <v>Postage</v>
      </c>
    </row>
    <row r="801" spans="1:11" ht="14.25" customHeight="1" x14ac:dyDescent="0.2">
      <c r="A801" s="364">
        <v>10902</v>
      </c>
      <c r="C801" s="363">
        <f>HLOOKUP("start",ESLData!E$1:E$9955,MATCH($A801,ESLData!$B$1:$B$9955,0))</f>
        <v>173144</v>
      </c>
      <c r="D801" s="369"/>
      <c r="E801" s="363">
        <f>HLOOKUP("start",ESLData!F$1:F$9955,MATCH($A801,ESLData!$B$1:$B$9955,0))</f>
        <v>170922</v>
      </c>
      <c r="F801" s="369">
        <f>ROUND(SUM(E54:E801),0)</f>
        <v>16901995</v>
      </c>
      <c r="G801" s="363">
        <f>HLOOKUP("start",ESLData!H$1:H$9955,MATCH($A801,ESLData!$B$1:$B$9955,0))</f>
        <v>170972.01</v>
      </c>
      <c r="H801" s="369">
        <f>ROUND(SUM(G54:G801),0)</f>
        <v>14561039</v>
      </c>
      <c r="J801" s="382" t="s">
        <v>1304</v>
      </c>
      <c r="K801" s="368" t="str">
        <f>IF(ISNA(HLOOKUP("start",ESLData!C$1:C$9955,MATCH($A801,ESLData!$B$1:$B$9955,0))),"",HLOOKUP("start",ESLData!C$1:C$9955,MATCH($A801,ESLData!$B$1:$B$9955,0)))</f>
        <v>ECC Expenses (Grant)</v>
      </c>
    </row>
    <row r="802" spans="1:11" s="368" customFormat="1" ht="14.25" customHeight="1" x14ac:dyDescent="0.2">
      <c r="A802" s="364">
        <v>38320</v>
      </c>
      <c r="C802" s="363">
        <f>HLOOKUP("start",ESLData!E$1:E$9955,MATCH($A802,ESLData!$B$1:$B$9955,0))</f>
        <v>27.44</v>
      </c>
      <c r="D802" s="400">
        <f>ROUND(SUM(C754:C802),0)</f>
        <v>320977</v>
      </c>
      <c r="E802" s="363">
        <f>HLOOKUP("start",ESLData!F$1:F$9955,MATCH($A802,ESLData!$B$1:$B$9955,0))</f>
        <v>100</v>
      </c>
      <c r="F802" s="381">
        <f>ROUND(SUM(E754:E802),0)</f>
        <v>339087</v>
      </c>
      <c r="G802" s="363">
        <f>HLOOKUP("start",ESLData!H$1:H$9955,MATCH($A802,ESLData!$B$1:$B$9955,0))</f>
        <v>81.510000000000005</v>
      </c>
      <c r="H802" s="400">
        <f>ROUND(SUM(G754:G802),0)</f>
        <v>236106</v>
      </c>
      <c r="J802" s="382" t="s">
        <v>1304</v>
      </c>
      <c r="K802" s="368" t="str">
        <f>IF(ISNA(HLOOKUP("start",ESLData!C$1:C$9955,MATCH($A802,ESLData!$B$1:$B$9955,0))),"",HLOOKUP("start",ESLData!C$1:C$9955,MATCH($A802,ESLData!$B$1:$B$9955,0)))</f>
        <v>Postage</v>
      </c>
    </row>
    <row r="803" spans="1:11" s="368" customFormat="1" ht="14.25" customHeight="1" x14ac:dyDescent="0.2">
      <c r="A803" s="364"/>
      <c r="C803" s="363"/>
      <c r="E803" s="363"/>
      <c r="G803" s="363"/>
      <c r="J803" s="382" t="s">
        <v>1304</v>
      </c>
      <c r="K803" s="368" t="str">
        <f>IF(ISNA(HLOOKUP("start",ESLData!C$1:C$9955,MATCH($A803,ESLData!$B$1:$B$9955,0))),"",HLOOKUP("start",ESLData!C$1:C$9955,MATCH($A803,ESLData!$B$1:$B$9955,0)))</f>
        <v/>
      </c>
    </row>
    <row r="804" spans="1:11" s="368" customFormat="1" ht="14.25" customHeight="1" x14ac:dyDescent="0.2">
      <c r="A804" s="367" t="s">
        <v>601</v>
      </c>
      <c r="C804" s="363"/>
      <c r="E804" s="363"/>
      <c r="G804" s="363"/>
      <c r="J804" s="382" t="s">
        <v>1304</v>
      </c>
      <c r="K804" s="368" t="str">
        <f>IF(ISNA(HLOOKUP("start",ESLData!C$1:C$9955,MATCH($A804,ESLData!$B$1:$B$9955,0))),"",HLOOKUP("start",ESLData!C$1:C$9955,MATCH($A804,ESLData!$B$1:$B$9955,0)))</f>
        <v/>
      </c>
    </row>
    <row r="805" spans="1:11" s="368" customFormat="1" ht="14.25" customHeight="1" x14ac:dyDescent="0.2">
      <c r="A805" s="364">
        <v>38222</v>
      </c>
      <c r="C805" s="363">
        <f>HLOOKUP("start",ESLData!E$1:E$9955,MATCH($A805,ESLData!$B$1:$B$9955,0))</f>
        <v>0</v>
      </c>
      <c r="E805" s="363">
        <f>HLOOKUP("start",ESLData!F$1:F$9955,MATCH($A805,ESLData!$B$1:$B$9955,0))</f>
        <v>0</v>
      </c>
      <c r="G805" s="363">
        <f>HLOOKUP("start",ESLData!H$1:H$9955,MATCH($A805,ESLData!$B$1:$B$9955,0))</f>
        <v>2538.5500000000002</v>
      </c>
      <c r="J805" s="382" t="s">
        <v>1304</v>
      </c>
      <c r="K805" s="368" t="str">
        <f>IF(ISNA(HLOOKUP("start",ESLData!C$1:C$9955,MATCH($A805,ESLData!$B$1:$B$9955,0))),"",HLOOKUP("start",ESLData!C$1:C$9955,MATCH($A805,ESLData!$B$1:$B$9955,0)))</f>
        <v>Salaries - Other</v>
      </c>
    </row>
    <row r="806" spans="1:11" s="368" customFormat="1" ht="14.25" customHeight="1" x14ac:dyDescent="0.2">
      <c r="A806" s="364">
        <v>46800</v>
      </c>
      <c r="C806" s="363">
        <f>HLOOKUP("start",ESLData!E$1:E$9955,MATCH($A806,ESLData!$B$1:$B$9955,0))</f>
        <v>1932.93</v>
      </c>
      <c r="E806" s="363">
        <f>HLOOKUP("start",ESLData!F$1:F$9955,MATCH($A806,ESLData!$B$1:$B$9955,0))</f>
        <v>5335</v>
      </c>
      <c r="G806" s="363">
        <f>HLOOKUP("start",ESLData!H$1:H$9955,MATCH($A806,ESLData!$B$1:$B$9955,0))</f>
        <v>3634.95</v>
      </c>
      <c r="I806" s="370"/>
      <c r="J806" s="382" t="s">
        <v>1304</v>
      </c>
      <c r="K806" s="368" t="str">
        <f>IF(ISNA(HLOOKUP("start",ESLData!C$1:C$9955,MATCH($A806,ESLData!$B$1:$B$9955,0))),"",HLOOKUP("start",ESLData!C$1:C$9955,MATCH($A806,ESLData!$B$1:$B$9955,0)))</f>
        <v>Acc Levy - Admin</v>
      </c>
    </row>
    <row r="807" spans="1:11" s="368" customFormat="1" ht="14.25" customHeight="1" x14ac:dyDescent="0.2">
      <c r="A807" s="364">
        <v>46860</v>
      </c>
      <c r="C807" s="363">
        <f>HLOOKUP("start",ESLData!E$1:E$9955,MATCH($A807,ESLData!$B$1:$B$9955,0))</f>
        <v>219294.84</v>
      </c>
      <c r="E807" s="363">
        <f>HLOOKUP("start",ESLData!F$1:F$9955,MATCH($A807,ESLData!$B$1:$B$9955,0))</f>
        <v>247417</v>
      </c>
      <c r="G807" s="363">
        <f>HLOOKUP("start",ESLData!H$1:H$9955,MATCH($A807,ESLData!$B$1:$B$9955,0))</f>
        <v>214167.1</v>
      </c>
      <c r="J807" s="382" t="s">
        <v>1304</v>
      </c>
      <c r="K807" s="368" t="str">
        <f>IF(ISNA(HLOOKUP("start",ESLData!C$1:C$9955,MATCH($A807,ESLData!$B$1:$B$9955,0))),"",HLOOKUP("start",ESLData!C$1:C$9955,MATCH($A807,ESLData!$B$1:$B$9955,0)))</f>
        <v>Salaries - Admin</v>
      </c>
    </row>
    <row r="808" spans="1:11" s="368" customFormat="1" ht="14.25" customHeight="1" x14ac:dyDescent="0.2">
      <c r="A808" s="364">
        <v>46861</v>
      </c>
      <c r="C808" s="363">
        <f>HLOOKUP("start",ESLData!E$1:E$9955,MATCH($A808,ESLData!$B$1:$B$9955,0))</f>
        <v>0</v>
      </c>
      <c r="E808" s="363">
        <f>HLOOKUP("start",ESLData!F$1:F$9955,MATCH($A808,ESLData!$B$1:$B$9955,0))</f>
        <v>0</v>
      </c>
      <c r="G808" s="363">
        <f>HLOOKUP("start",ESLData!H$1:H$9955,MATCH($A808,ESLData!$B$1:$B$9955,0))</f>
        <v>0</v>
      </c>
      <c r="J808" s="382" t="s">
        <v>1304</v>
      </c>
      <c r="K808" s="368" t="str">
        <f>IF(ISNA(HLOOKUP("start",ESLData!C$1:C$9955,MATCH($A808,ESLData!$B$1:$B$9955,0))),"",HLOOKUP("start",ESLData!C$1:C$9955,MATCH($A808,ESLData!$B$1:$B$9955,0)))</f>
        <v>Novopay leave adjustment</v>
      </c>
    </row>
    <row r="809" spans="1:11" s="368" customFormat="1" ht="14.25" customHeight="1" x14ac:dyDescent="0.2">
      <c r="A809" s="364">
        <v>38940</v>
      </c>
      <c r="C809" s="363">
        <f>HLOOKUP("start",ESLData!E$1:E$9955,MATCH($A809,ESLData!$B$1:$B$9955,0))</f>
        <v>29629.53</v>
      </c>
      <c r="E809" s="363">
        <f>HLOOKUP("start",ESLData!F$1:F$9955,MATCH($A809,ESLData!$B$1:$B$9955,0))</f>
        <v>29022</v>
      </c>
      <c r="G809" s="363">
        <f>HLOOKUP("start",ESLData!H$1:H$9955,MATCH($A809,ESLData!$B$1:$B$9955,0))</f>
        <v>26516.78</v>
      </c>
      <c r="I809" s="380"/>
      <c r="J809" s="382" t="s">
        <v>1304</v>
      </c>
      <c r="K809" s="368" t="str">
        <f>IF(ISNA(HLOOKUP("start",ESLData!C$1:C$9955,MATCH($A809,ESLData!$B$1:$B$9955,0))),"",HLOOKUP("start",ESLData!C$1:C$9955,MATCH($A809,ESLData!$B$1:$B$9955,0)))</f>
        <v>Salaries - Admin Immersion</v>
      </c>
    </row>
    <row r="810" spans="1:11" s="368" customFormat="1" ht="14.25" customHeight="1" x14ac:dyDescent="0.2">
      <c r="A810" s="364">
        <v>38221</v>
      </c>
      <c r="C810" s="363">
        <f>HLOOKUP("start",ESLData!E$1:E$9955,MATCH($A810,ESLData!$B$1:$B$9955,0))</f>
        <v>26663.56</v>
      </c>
      <c r="E810" s="363">
        <f>HLOOKUP("start",ESLData!F$1:F$9955,MATCH($A810,ESLData!$B$1:$B$9955,0))</f>
        <v>26764</v>
      </c>
      <c r="G810" s="363">
        <f>HLOOKUP("start",ESLData!H$1:H$9955,MATCH($A810,ESLData!$B$1:$B$9955,0))</f>
        <v>26361.17</v>
      </c>
      <c r="I810" s="380"/>
      <c r="J810" s="382" t="s">
        <v>1304</v>
      </c>
      <c r="K810" s="368" t="str">
        <f>IF(ISNA(HLOOKUP("start",ESLData!C$1:C$9955,MATCH($A810,ESLData!$B$1:$B$9955,0))),"",HLOOKUP("start",ESLData!C$1:C$9955,MATCH($A810,ESLData!$B$1:$B$9955,0)))</f>
        <v>Salaries - Administration</v>
      </c>
    </row>
    <row r="811" spans="1:11" s="368" customFormat="1" ht="14.25" customHeight="1" x14ac:dyDescent="0.2">
      <c r="A811" s="365">
        <v>37400</v>
      </c>
      <c r="C811" s="363">
        <f>HLOOKUP("start",ESLData!E$1:E$9955,MATCH($A811,ESLData!$B$1:$B$9955,0))</f>
        <v>17500.32</v>
      </c>
      <c r="D811" s="369"/>
      <c r="E811" s="363">
        <f>HLOOKUP("start",ESLData!F$1:F$9955,MATCH($A811,ESLData!$B$1:$B$9955,0))</f>
        <v>16960</v>
      </c>
      <c r="F811" s="369"/>
      <c r="G811" s="363">
        <f>HLOOKUP("start",ESLData!H$1:H$9955,MATCH($A811,ESLData!$B$1:$B$9955,0))</f>
        <v>16719.900000000001</v>
      </c>
      <c r="H811" s="369"/>
      <c r="J811" s="382" t="s">
        <v>1304</v>
      </c>
      <c r="K811" s="368" t="str">
        <f>IF(ISNA(HLOOKUP("start",ESLData!C$1:C$9955,MATCH($A811,ESLData!$B$1:$B$9955,0))),"",HLOOKUP("start",ESLData!C$1:C$9955,MATCH($A811,ESLData!$B$1:$B$9955,0)))</f>
        <v>Salaries</v>
      </c>
    </row>
    <row r="812" spans="1:11" s="368" customFormat="1" ht="14.25" customHeight="1" x14ac:dyDescent="0.2">
      <c r="A812" s="365">
        <v>37305</v>
      </c>
      <c r="C812" s="363">
        <f>HLOOKUP("start",ESLData!E$1:E$9955,MATCH($A812,ESLData!$B$1:$B$9955,0))</f>
        <v>57990.43</v>
      </c>
      <c r="E812" s="363">
        <f>HLOOKUP("start",ESLData!F$1:F$9955,MATCH($A812,ESLData!$B$1:$B$9955,0))</f>
        <v>53392</v>
      </c>
      <c r="G812" s="363">
        <f>HLOOKUP("start",ESLData!H$1:H$9955,MATCH($A812,ESLData!$B$1:$B$9955,0))</f>
        <v>58194.28</v>
      </c>
      <c r="J812" s="382" t="s">
        <v>1304</v>
      </c>
      <c r="K812" s="368" t="str">
        <f>IF(ISNA(HLOOKUP("start",ESLData!C$1:C$9955,MATCH($A812,ESLData!$B$1:$B$9955,0))),"",HLOOKUP("start",ESLData!C$1:C$9955,MATCH($A812,ESLData!$B$1:$B$9955,0)))</f>
        <v>Salaries Admin Nat Assess</v>
      </c>
    </row>
    <row r="813" spans="1:11" s="368" customFormat="1" ht="14.25" customHeight="1" x14ac:dyDescent="0.2">
      <c r="A813" s="364">
        <v>35171</v>
      </c>
      <c r="C813" s="363">
        <f>HLOOKUP("start",ESLData!E$1:E$9955,MATCH($A813,ESLData!$B$1:$B$9955,0))</f>
        <v>14968.68</v>
      </c>
      <c r="E813" s="363">
        <f>HLOOKUP("start",ESLData!F$1:F$9955,MATCH($A813,ESLData!$B$1:$B$9955,0))</f>
        <v>19025</v>
      </c>
      <c r="G813" s="363">
        <f>HLOOKUP("start",ESLData!H$1:H$9955,MATCH($A813,ESLData!$B$1:$B$9955,0))</f>
        <v>14075.59</v>
      </c>
      <c r="J813" s="382" t="s">
        <v>1304</v>
      </c>
      <c r="K813" s="368" t="str">
        <f>IF(ISNA(HLOOKUP("start",ESLData!C$1:C$9955,MATCH($A813,ESLData!$B$1:$B$9955,0))),"",HLOOKUP("start",ESLData!C$1:C$9955,MATCH($A813,ESLData!$B$1:$B$9955,0)))</f>
        <v>Regional Network Staffing</v>
      </c>
    </row>
    <row r="814" spans="1:11" s="368" customFormat="1" ht="14.25" customHeight="1" x14ac:dyDescent="0.2">
      <c r="A814" s="364">
        <v>35160</v>
      </c>
      <c r="C814" s="363">
        <f>HLOOKUP("start",ESLData!E$1:E$9955,MATCH($A814,ESLData!$B$1:$B$9955,0))</f>
        <v>4772.41</v>
      </c>
      <c r="E814" s="363">
        <f>HLOOKUP("start",ESLData!F$1:F$9955,MATCH($A814,ESLData!$B$1:$B$9955,0))</f>
        <v>3805</v>
      </c>
      <c r="G814" s="363">
        <f>HLOOKUP("start",ESLData!H$1:H$9955,MATCH($A814,ESLData!$B$1:$B$9955,0))</f>
        <v>4562.05</v>
      </c>
      <c r="J814" s="382" t="s">
        <v>1304</v>
      </c>
      <c r="K814" s="368" t="str">
        <f>IF(ISNA(HLOOKUP("start",ESLData!C$1:C$9955,MATCH($A814,ESLData!$B$1:$B$9955,0))),"",HLOOKUP("start",ESLData!C$1:C$9955,MATCH($A814,ESLData!$B$1:$B$9955,0)))</f>
        <v>Staffing</v>
      </c>
    </row>
    <row r="815" spans="1:11" s="368" customFormat="1" ht="14.25" customHeight="1" x14ac:dyDescent="0.2">
      <c r="A815" s="364">
        <v>35000</v>
      </c>
      <c r="C815" s="363">
        <f>HLOOKUP("start",ESLData!E$1:E$9955,MATCH($A815,ESLData!$B$1:$B$9955,0))</f>
        <v>0</v>
      </c>
      <c r="E815" s="363">
        <f>HLOOKUP("start",ESLData!F$1:F$9955,MATCH($A815,ESLData!$B$1:$B$9955,0))</f>
        <v>0</v>
      </c>
      <c r="G815" s="363">
        <f>HLOOKUP("start",ESLData!H$1:H$9955,MATCH($A815,ESLData!$B$1:$B$9955,0))</f>
        <v>0</v>
      </c>
      <c r="J815" s="382" t="s">
        <v>1304</v>
      </c>
      <c r="K815" s="368" t="str">
        <f>IF(ISNA(HLOOKUP("start",ESLData!C$1:C$9955,MATCH($A815,ESLData!$B$1:$B$9955,0))),"",HLOOKUP("start",ESLData!C$1:C$9955,MATCH($A815,ESLData!$B$1:$B$9955,0)))</f>
        <v>Staffing</v>
      </c>
    </row>
    <row r="816" spans="1:11" s="368" customFormat="1" ht="14.25" customHeight="1" x14ac:dyDescent="0.2">
      <c r="A816" s="364">
        <v>35900</v>
      </c>
      <c r="C816" s="363">
        <f>HLOOKUP("start",ESLData!E$1:E$9955,MATCH($A816,ESLData!$B$1:$B$9955,0))</f>
        <v>28965.09</v>
      </c>
      <c r="E816" s="363">
        <f>HLOOKUP("start",ESLData!F$1:F$9955,MATCH($A816,ESLData!$B$1:$B$9955,0))</f>
        <v>29670</v>
      </c>
      <c r="G816" s="363">
        <f>HLOOKUP("start",ESLData!H$1:H$9955,MATCH($A816,ESLData!$B$1:$B$9955,0))</f>
        <v>28747.57</v>
      </c>
      <c r="J816" s="382" t="s">
        <v>1304</v>
      </c>
      <c r="K816" s="368" t="str">
        <f>IF(ISNA(HLOOKUP("start",ESLData!C$1:C$9955,MATCH($A816,ESLData!$B$1:$B$9955,0))),"",HLOOKUP("start",ESLData!C$1:C$9955,MATCH($A816,ESLData!$B$1:$B$9955,0)))</f>
        <v>Staffing Ecc</v>
      </c>
    </row>
    <row r="817" spans="1:11" s="368" customFormat="1" ht="14.25" customHeight="1" x14ac:dyDescent="0.2">
      <c r="A817" s="364">
        <v>60250</v>
      </c>
      <c r="C817" s="363">
        <f>HLOOKUP("start",ESLData!E$1:E$9955,MATCH($A817,ESLData!$B$1:$B$9955,0))</f>
        <v>33351.589999999997</v>
      </c>
      <c r="D817" s="400">
        <f>ROUND(SUM(C805:C817),0)</f>
        <v>435069</v>
      </c>
      <c r="E817" s="363">
        <f>HLOOKUP("start",ESLData!F$1:F$9955,MATCH($A817,ESLData!$B$1:$B$9955,0))</f>
        <v>35618</v>
      </c>
      <c r="F817" s="381">
        <f>ROUND(SUM(E805:E817),0)</f>
        <v>467008</v>
      </c>
      <c r="G817" s="363">
        <f>HLOOKUP("start",ESLData!H$1:H$9955,MATCH($A817,ESLData!$B$1:$B$9955,0))</f>
        <v>32481.68</v>
      </c>
      <c r="H817" s="400">
        <f>ROUND(SUM(G805:G817),0)</f>
        <v>428000</v>
      </c>
      <c r="J817" s="382" t="s">
        <v>1304</v>
      </c>
      <c r="K817" s="368" t="str">
        <f>IF(ISNA(HLOOKUP("start",ESLData!C$1:C$9955,MATCH($A817,ESLData!$B$1:$B$9955,0))),"",HLOOKUP("start",ESLData!C$1:C$9955,MATCH($A817,ESLData!$B$1:$B$9955,0)))</f>
        <v>O&amp;M Admin Staffing</v>
      </c>
    </row>
    <row r="818" spans="1:11" s="368" customFormat="1" ht="14.25" customHeight="1" x14ac:dyDescent="0.2">
      <c r="A818" s="367" t="s">
        <v>813</v>
      </c>
      <c r="C818" s="363"/>
      <c r="E818" s="363"/>
      <c r="G818" s="363"/>
      <c r="J818" s="382" t="s">
        <v>1304</v>
      </c>
      <c r="K818" s="368" t="str">
        <f>IF(ISNA(HLOOKUP("start",ESLData!C$1:C$9955,MATCH($A818,ESLData!$B$1:$B$9955,0))),"",HLOOKUP("start",ESLData!C$1:C$9955,MATCH($A818,ESLData!$B$1:$B$9955,0)))</f>
        <v/>
      </c>
    </row>
    <row r="819" spans="1:11" s="368" customFormat="1" ht="14.25" customHeight="1" x14ac:dyDescent="0.2">
      <c r="A819" s="364">
        <v>46580</v>
      </c>
      <c r="C819" s="363">
        <f>HLOOKUP("start",ESLData!E$1:E$9955,MATCH($A819,ESLData!$B$1:$B$9955,0))</f>
        <v>650</v>
      </c>
      <c r="E819" s="363">
        <f>HLOOKUP("start",ESLData!F$1:F$9955,MATCH($A819,ESLData!$B$1:$B$9955,0))</f>
        <v>650</v>
      </c>
      <c r="G819" s="363">
        <f>HLOOKUP("start",ESLData!H$1:H$9955,MATCH($A819,ESLData!$B$1:$B$9955,0))</f>
        <v>350</v>
      </c>
      <c r="J819" s="382" t="s">
        <v>1304</v>
      </c>
      <c r="K819" s="368" t="str">
        <f>IF(ISNA(HLOOKUP("start",ESLData!C$1:C$9955,MATCH($A819,ESLData!$B$1:$B$9955,0))),"",HLOOKUP("start",ESLData!C$1:C$9955,MATCH($A819,ESLData!$B$1:$B$9955,0)))</f>
        <v>Insurance - School</v>
      </c>
    </row>
    <row r="820" spans="1:11" s="368" customFormat="1" ht="14.25" customHeight="1" x14ac:dyDescent="0.2">
      <c r="A820" s="364">
        <v>46950</v>
      </c>
      <c r="C820" s="363">
        <f>HLOOKUP("start",ESLData!E$1:E$9955,MATCH($A820,ESLData!$B$1:$B$9955,0))</f>
        <v>0</v>
      </c>
      <c r="E820" s="363">
        <f>HLOOKUP("start",ESLData!F$1:F$9955,MATCH($A820,ESLData!$B$1:$B$9955,0))</f>
        <v>450</v>
      </c>
      <c r="G820" s="363">
        <f>HLOOKUP("start",ESLData!H$1:H$9955,MATCH($A820,ESLData!$B$1:$B$9955,0))</f>
        <v>0</v>
      </c>
      <c r="J820" s="382" t="s">
        <v>1304</v>
      </c>
      <c r="K820" s="368" t="str">
        <f>IF(ISNA(HLOOKUP("start",ESLData!C$1:C$9955,MATCH($A820,ESLData!$B$1:$B$9955,0))),"",HLOOKUP("start",ESLData!C$1:C$9955,MATCH($A820,ESLData!$B$1:$B$9955,0)))</f>
        <v>Insurance - Moe Scheme</v>
      </c>
    </row>
    <row r="821" spans="1:11" s="368" customFormat="1" ht="14.25" customHeight="1" x14ac:dyDescent="0.2">
      <c r="A821" s="364">
        <v>57690</v>
      </c>
      <c r="C821" s="363">
        <f>HLOOKUP("start",ESLData!E$1:E$9955,MATCH($A821,ESLData!$B$1:$B$9955,0))</f>
        <v>2493.14</v>
      </c>
      <c r="D821" s="400">
        <f>ROUND(SUM(C819:C821),0)</f>
        <v>3143</v>
      </c>
      <c r="E821" s="363">
        <f>HLOOKUP("start",ESLData!F$1:F$9955,MATCH($A821,ESLData!$B$1:$B$9955,0))</f>
        <v>2493</v>
      </c>
      <c r="F821" s="381">
        <f>ROUND(SUM(E819:E821),0)</f>
        <v>3593</v>
      </c>
      <c r="G821" s="363">
        <f>HLOOKUP("start",ESLData!H$1:H$9955,MATCH($A821,ESLData!$B$1:$B$9955,0))</f>
        <v>1891.12</v>
      </c>
      <c r="H821" s="400">
        <f>ROUND(SUM(G819:G821),0)</f>
        <v>2241</v>
      </c>
      <c r="J821" s="382" t="s">
        <v>1304</v>
      </c>
      <c r="K821" s="368" t="str">
        <f>IF(ISNA(HLOOKUP("start",ESLData!C$1:C$9955,MATCH($A821,ESLData!$B$1:$B$9955,0))),"",HLOOKUP("start",ESLData!C$1:C$9955,MATCH($A821,ESLData!$B$1:$B$9955,0)))</f>
        <v>OLE Insurance</v>
      </c>
    </row>
    <row r="822" spans="1:11" s="368" customFormat="1" ht="14.25" customHeight="1" x14ac:dyDescent="0.2">
      <c r="A822" s="367" t="s">
        <v>1291</v>
      </c>
      <c r="C822" s="363"/>
      <c r="E822" s="363"/>
      <c r="G822" s="363"/>
      <c r="J822" s="382" t="s">
        <v>1304</v>
      </c>
      <c r="K822" s="368" t="str">
        <f>IF(ISNA(HLOOKUP("start",ESLData!C$1:C$9955,MATCH($A822,ESLData!$B$1:$B$9955,0))),"",HLOOKUP("start",ESLData!C$1:C$9955,MATCH($A822,ESLData!$B$1:$B$9955,0)))</f>
        <v/>
      </c>
    </row>
    <row r="823" spans="1:11" s="368" customFormat="1" ht="14.25" customHeight="1" x14ac:dyDescent="0.2">
      <c r="A823" s="364">
        <v>46000</v>
      </c>
      <c r="C823" s="363">
        <f>HLOOKUP("start",ESLData!E$1:E$9955,MATCH($A823,ESLData!$B$1:$B$9955,0))</f>
        <v>26436</v>
      </c>
      <c r="E823" s="363">
        <f>HLOOKUP("start",ESLData!F$1:F$9955,MATCH($A823,ESLData!$B$1:$B$9955,0))</f>
        <v>27600</v>
      </c>
      <c r="G823" s="363">
        <f>HLOOKUP("start",ESLData!H$1:H$9955,MATCH($A823,ESLData!$B$1:$B$9955,0))</f>
        <v>25944</v>
      </c>
      <c r="J823" s="382" t="s">
        <v>1304</v>
      </c>
      <c r="K823" s="368" t="str">
        <f>IF(ISNA(HLOOKUP("start",ESLData!C$1:C$9955,MATCH($A823,ESLData!$B$1:$B$9955,0))),"",HLOOKUP("start",ESLData!C$1:C$9955,MATCH($A823,ESLData!$B$1:$B$9955,0)))</f>
        <v>Accounting Fees</v>
      </c>
    </row>
    <row r="824" spans="1:11" s="368" customFormat="1" ht="14.25" customHeight="1" x14ac:dyDescent="0.2">
      <c r="A824" s="364">
        <v>46645</v>
      </c>
      <c r="C824" s="363">
        <f>HLOOKUP("start",ESLData!E$1:E$9955,MATCH($A824,ESLData!$B$1:$B$9955,0))</f>
        <v>0</v>
      </c>
      <c r="E824" s="363">
        <f>HLOOKUP("start",ESLData!F$1:F$9955,MATCH($A824,ESLData!$B$1:$B$9955,0))</f>
        <v>3000</v>
      </c>
      <c r="G824" s="363">
        <f>HLOOKUP("start",ESLData!H$1:H$9955,MATCH($A824,ESLData!$B$1:$B$9955,0))</f>
        <v>436</v>
      </c>
      <c r="J824" s="382" t="s">
        <v>1304</v>
      </c>
      <c r="K824" s="368" t="str">
        <f>IF(ISNA(HLOOKUP("start",ESLData!C$1:C$9955,MATCH($A824,ESLData!$B$1:$B$9955,0))),"",HLOOKUP("start",ESLData!C$1:C$9955,MATCH($A824,ESLData!$B$1:$B$9955,0)))</f>
        <v>ICT Staffing</v>
      </c>
    </row>
    <row r="825" spans="1:11" s="368" customFormat="1" ht="14.25" customHeight="1" x14ac:dyDescent="0.2">
      <c r="A825" s="364">
        <v>46886</v>
      </c>
      <c r="C825" s="363">
        <f>HLOOKUP("start",ESLData!E$1:E$9955,MATCH($A825,ESLData!$B$1:$B$9955,0))</f>
        <v>3918</v>
      </c>
      <c r="D825" s="400">
        <f>ROUND(SUM(C823:C825),0)</f>
        <v>30354</v>
      </c>
      <c r="E825" s="363">
        <f>HLOOKUP("start",ESLData!F$1:F$9955,MATCH($A825,ESLData!$B$1:$B$9955,0))</f>
        <v>4000</v>
      </c>
      <c r="F825" s="381">
        <f>ROUND(SUM(E823:E825),0)</f>
        <v>34600</v>
      </c>
      <c r="G825" s="363">
        <f>HLOOKUP("start",ESLData!H$1:H$9955,MATCH($A825,ESLData!$B$1:$B$9955,0))</f>
        <v>3652.5</v>
      </c>
      <c r="H825" s="400">
        <f>ROUND(SUM(G823:G825),0)</f>
        <v>30033</v>
      </c>
      <c r="J825" s="382" t="s">
        <v>1304</v>
      </c>
      <c r="K825" s="368" t="str">
        <f>IF(ISNA(HLOOKUP("start",ESLData!C$1:C$9955,MATCH($A825,ESLData!$B$1:$B$9955,0))),"",HLOOKUP("start",ESLData!C$1:C$9955,MATCH($A825,ESLData!$B$1:$B$9955,0)))</f>
        <v>Eap Counselling Services</v>
      </c>
    </row>
    <row r="826" spans="1:11" s="368" customFormat="1" ht="14.25" customHeight="1" x14ac:dyDescent="0.2">
      <c r="A826" s="367"/>
      <c r="C826" s="363"/>
      <c r="E826" s="363"/>
      <c r="G826" s="363"/>
      <c r="J826" s="382" t="s">
        <v>1304</v>
      </c>
      <c r="K826" s="368" t="str">
        <f>IF(ISNA(HLOOKUP("start",ESLData!C$1:C$9955,MATCH($A826,ESLData!$B$1:$B$9955,0))),"",HLOOKUP("start",ESLData!C$1:C$9955,MATCH($A826,ESLData!$B$1:$B$9955,0)))</f>
        <v/>
      </c>
    </row>
    <row r="827" spans="1:11" s="368" customFormat="1" ht="14.25" customHeight="1" x14ac:dyDescent="0.2">
      <c r="A827" s="376" t="s">
        <v>811</v>
      </c>
      <c r="C827" s="363"/>
      <c r="E827" s="363"/>
      <c r="G827" s="363"/>
      <c r="J827" s="382" t="s">
        <v>1304</v>
      </c>
      <c r="K827" s="368" t="str">
        <f>IF(ISNA(HLOOKUP("start",ESLData!C$1:C$9955,MATCH($A827,ESLData!$B$1:$B$9955,0))),"",HLOOKUP("start",ESLData!C$1:C$9955,MATCH($A827,ESLData!$B$1:$B$9955,0)))</f>
        <v/>
      </c>
    </row>
    <row r="828" spans="1:11" s="368" customFormat="1" ht="14.25" customHeight="1" x14ac:dyDescent="0.2">
      <c r="A828" s="367" t="s">
        <v>835</v>
      </c>
      <c r="C828" s="363"/>
      <c r="E828" s="363"/>
      <c r="G828" s="363"/>
      <c r="J828" s="382" t="s">
        <v>1304</v>
      </c>
      <c r="K828" s="368" t="str">
        <f>IF(ISNA(HLOOKUP("start",ESLData!C$1:C$9955,MATCH($A828,ESLData!$B$1:$B$9955,0))),"",HLOOKUP("start",ESLData!C$1:C$9955,MATCH($A828,ESLData!$B$1:$B$9955,0)))</f>
        <v/>
      </c>
    </row>
    <row r="829" spans="1:11" s="368" customFormat="1" ht="14.25" customHeight="1" x14ac:dyDescent="0.2">
      <c r="A829" s="364">
        <v>57000</v>
      </c>
      <c r="C829" s="363">
        <f>HLOOKUP("start",ESLData!E$1:E$9955,MATCH($A829,ESLData!$B$1:$B$9955,0))</f>
        <v>5721.84</v>
      </c>
      <c r="E829" s="363">
        <f>HLOOKUP("start",ESLData!F$1:F$9955,MATCH($A829,ESLData!$B$1:$B$9955,0))</f>
        <v>13500</v>
      </c>
      <c r="G829" s="363">
        <f>HLOOKUP("start",ESLData!H$1:H$9955,MATCH($A829,ESLData!$B$1:$B$9955,0))</f>
        <v>11628.85</v>
      </c>
      <c r="J829" s="382" t="s">
        <v>1304</v>
      </c>
      <c r="K829" s="368" t="str">
        <f>IF(ISNA(HLOOKUP("start",ESLData!C$1:C$9955,MATCH($A829,ESLData!$B$1:$B$9955,0))),"",HLOOKUP("start",ESLData!C$1:C$9955,MATCH($A829,ESLData!$B$1:$B$9955,0)))</f>
        <v>Carpets/Pest Control</v>
      </c>
    </row>
    <row r="830" spans="1:11" s="368" customFormat="1" ht="14.25" customHeight="1" x14ac:dyDescent="0.2">
      <c r="A830" s="364">
        <v>57120</v>
      </c>
      <c r="C830" s="363">
        <f>HLOOKUP("start",ESLData!E$1:E$9955,MATCH($A830,ESLData!$B$1:$B$9955,0))</f>
        <v>12981.99</v>
      </c>
      <c r="E830" s="363">
        <f>HLOOKUP("start",ESLData!F$1:F$9955,MATCH($A830,ESLData!$B$1:$B$9955,0))</f>
        <v>11000</v>
      </c>
      <c r="G830" s="363">
        <f>HLOOKUP("start",ESLData!H$1:H$9955,MATCH($A830,ESLData!$B$1:$B$9955,0))</f>
        <v>11156.81</v>
      </c>
      <c r="J830" s="382" t="s">
        <v>1304</v>
      </c>
      <c r="K830" s="368" t="str">
        <f>IF(ISNA(HLOOKUP("start",ESLData!C$1:C$9955,MATCH($A830,ESLData!$B$1:$B$9955,0))),"",HLOOKUP("start",ESLData!C$1:C$9955,MATCH($A830,ESLData!$B$1:$B$9955,0)))</f>
        <v>Rubbish/Sanitary Disposal</v>
      </c>
    </row>
    <row r="831" spans="1:11" s="368" customFormat="1" ht="14.25" customHeight="1" x14ac:dyDescent="0.2">
      <c r="A831" s="364">
        <v>57130</v>
      </c>
      <c r="C831" s="363">
        <f>HLOOKUP("start",ESLData!E$1:E$9955,MATCH($A831,ESLData!$B$1:$B$9955,0))</f>
        <v>0</v>
      </c>
      <c r="E831" s="363">
        <f>HLOOKUP("start",ESLData!F$1:F$9955,MATCH($A831,ESLData!$B$1:$B$9955,0))</f>
        <v>0</v>
      </c>
      <c r="G831" s="363">
        <f>HLOOKUP("start",ESLData!H$1:H$9955,MATCH($A831,ESLData!$B$1:$B$9955,0))</f>
        <v>0</v>
      </c>
      <c r="J831" s="382" t="s">
        <v>1304</v>
      </c>
      <c r="K831" s="368" t="str">
        <f>IF(ISNA(HLOOKUP("start",ESLData!C$1:C$9955,MATCH($A831,ESLData!$B$1:$B$9955,0))),"",HLOOKUP("start",ESLData!C$1:C$9955,MATCH($A831,ESLData!$B$1:$B$9955,0)))</f>
        <v>Renovation Rubbish Disposal</v>
      </c>
    </row>
    <row r="832" spans="1:11" s="368" customFormat="1" ht="14.25" customHeight="1" x14ac:dyDescent="0.2">
      <c r="A832" s="364">
        <v>57140</v>
      </c>
      <c r="C832" s="363">
        <f>HLOOKUP("start",ESLData!E$1:E$9955,MATCH($A832,ESLData!$B$1:$B$9955,0))</f>
        <v>0</v>
      </c>
      <c r="D832" s="369"/>
      <c r="E832" s="363">
        <f>HLOOKUP("start",ESLData!F$1:F$9955,MATCH($A832,ESLData!$B$1:$B$9955,0))</f>
        <v>0</v>
      </c>
      <c r="F832" s="369"/>
      <c r="G832" s="363">
        <f>HLOOKUP("start",ESLData!H$1:H$9955,MATCH($A832,ESLData!$B$1:$B$9955,0))</f>
        <v>0</v>
      </c>
      <c r="H832" s="369"/>
      <c r="J832" s="382" t="s">
        <v>1304</v>
      </c>
      <c r="K832" s="368" t="str">
        <f>IF(ISNA(HLOOKUP("start",ESLData!C$1:C$9955,MATCH($A832,ESLData!$B$1:$B$9955,0))),"",HLOOKUP("start",ESLData!C$1:C$9955,MATCH($A832,ESLData!$B$1:$B$9955,0)))</f>
        <v>Window Cleaning</v>
      </c>
    </row>
    <row r="833" spans="1:12" s="368" customFormat="1" ht="14.25" customHeight="1" x14ac:dyDescent="0.2">
      <c r="A833" s="364">
        <v>58000</v>
      </c>
      <c r="C833" s="363">
        <f>HLOOKUP("start",ESLData!E$1:E$9955,MATCH($A833,ESLData!$B$1:$B$9955,0))</f>
        <v>3588.8</v>
      </c>
      <c r="E833" s="363">
        <f>HLOOKUP("start",ESLData!F$1:F$9955,MATCH($A833,ESLData!$B$1:$B$9955,0))</f>
        <v>2500</v>
      </c>
      <c r="G833" s="363">
        <f>HLOOKUP("start",ESLData!H$1:H$9955,MATCH($A833,ESLData!$B$1:$B$9955,0))</f>
        <v>3215.6</v>
      </c>
      <c r="J833" s="382" t="s">
        <v>1304</v>
      </c>
      <c r="K833" s="368" t="str">
        <f>IF(ISNA(HLOOKUP("start",ESLData!C$1:C$9955,MATCH($A833,ESLData!$B$1:$B$9955,0))),"",HLOOKUP("start",ESLData!C$1:C$9955,MATCH($A833,ESLData!$B$1:$B$9955,0)))</f>
        <v>Laundry</v>
      </c>
      <c r="L833" s="370" t="s">
        <v>1014</v>
      </c>
    </row>
    <row r="834" spans="1:12" s="368" customFormat="1" ht="14.25" customHeight="1" x14ac:dyDescent="0.2">
      <c r="A834" s="364">
        <v>58020</v>
      </c>
      <c r="C834" s="363">
        <f>HLOOKUP("start",ESLData!E$1:E$9955,MATCH($A834,ESLData!$B$1:$B$9955,0))</f>
        <v>11731.94</v>
      </c>
      <c r="D834" s="400">
        <f>ROUND(SUM(C829:C834),0)</f>
        <v>34025</v>
      </c>
      <c r="E834" s="363">
        <f>HLOOKUP("start",ESLData!F$1:F$9955,MATCH($A834,ESLData!$B$1:$B$9955,0))</f>
        <v>8000</v>
      </c>
      <c r="F834" s="381">
        <f>ROUND(SUM(E829:E834),0)</f>
        <v>35000</v>
      </c>
      <c r="G834" s="363">
        <f>HLOOKUP("start",ESLData!H$1:H$9955,MATCH($A834,ESLData!$B$1:$B$9955,0))</f>
        <v>7441.38</v>
      </c>
      <c r="H834" s="400">
        <f>ROUND(SUM(G829:G834),0)</f>
        <v>33443</v>
      </c>
      <c r="J834" s="382" t="s">
        <v>1304</v>
      </c>
      <c r="K834" s="368" t="str">
        <f>IF(ISNA(HLOOKUP("start",ESLData!C$1:C$9955,MATCH($A834,ESLData!$B$1:$B$9955,0))),"",HLOOKUP("start",ESLData!C$1:C$9955,MATCH($A834,ESLData!$B$1:$B$9955,0)))</f>
        <v>Stores</v>
      </c>
    </row>
    <row r="835" spans="1:12" s="368" customFormat="1" ht="14.25" customHeight="1" x14ac:dyDescent="0.2">
      <c r="A835" s="367" t="s">
        <v>242</v>
      </c>
      <c r="C835" s="363"/>
      <c r="D835" s="369"/>
      <c r="E835" s="363"/>
      <c r="F835" s="369"/>
      <c r="G835" s="363"/>
      <c r="H835" s="369"/>
      <c r="J835" s="382" t="s">
        <v>1304</v>
      </c>
      <c r="K835" s="368" t="str">
        <f>IF(ISNA(HLOOKUP("start",ESLData!C$1:C$9955,MATCH($A835,ESLData!$B$1:$B$9955,0))),"",HLOOKUP("start",ESLData!C$1:C$9955,MATCH($A835,ESLData!$B$1:$B$9955,0)))</f>
        <v/>
      </c>
    </row>
    <row r="836" spans="1:12" s="368" customFormat="1" ht="14.25" customHeight="1" x14ac:dyDescent="0.2">
      <c r="A836" s="364">
        <v>57610</v>
      </c>
      <c r="C836" s="363">
        <f>HLOOKUP("start",ESLData!E$1:E$9955,MATCH($A836,ESLData!$B$1:$B$9955,0))</f>
        <v>12115</v>
      </c>
      <c r="D836" s="401">
        <f>ROUND(SUM(C836),0)</f>
        <v>12115</v>
      </c>
      <c r="E836" s="363">
        <f>HLOOKUP("start",ESLData!F$1:F$9955,MATCH($A836,ESLData!$B$1:$B$9955,0))</f>
        <v>15811</v>
      </c>
      <c r="F836" s="369">
        <f>ROUND(SUM(E836),0)</f>
        <v>15811</v>
      </c>
      <c r="G836" s="402">
        <f>HLOOKUP("start",ESLData!H$1:H$9955,MATCH($A836,ESLData!$B$1:$B$9955,0))</f>
        <v>22811</v>
      </c>
      <c r="H836" s="369">
        <f>ROUND(SUM(G836),0)</f>
        <v>22811</v>
      </c>
      <c r="J836" s="382" t="s">
        <v>1304</v>
      </c>
      <c r="K836" s="368" t="str">
        <f>IF(ISNA(HLOOKUP("start",ESLData!C$1:C$9955,MATCH($A836,ESLData!$B$1:$B$9955,0))),"",HLOOKUP("start",ESLData!C$1:C$9955,MATCH($A836,ESLData!$B$1:$B$9955,0)))</f>
        <v>Cyclical Maintenance</v>
      </c>
    </row>
    <row r="837" spans="1:12" s="368" customFormat="1" ht="14.25" customHeight="1" x14ac:dyDescent="0.2">
      <c r="A837" s="367" t="s">
        <v>803</v>
      </c>
      <c r="C837" s="363"/>
      <c r="E837" s="363"/>
      <c r="G837" s="363"/>
      <c r="J837" s="382" t="s">
        <v>1304</v>
      </c>
      <c r="K837" s="368" t="str">
        <f>IF(ISNA(HLOOKUP("start",ESLData!C$1:C$9955,MATCH($A837,ESLData!$B$1:$B$9955,0))),"",HLOOKUP("start",ESLData!C$1:C$9955,MATCH($A837,ESLData!$B$1:$B$9955,0)))</f>
        <v/>
      </c>
    </row>
    <row r="838" spans="1:12" s="368" customFormat="1" ht="14.25" customHeight="1" x14ac:dyDescent="0.2">
      <c r="A838" s="364">
        <v>57200</v>
      </c>
      <c r="C838" s="363">
        <f>HLOOKUP("start",ESLData!E$1:E$9955,MATCH($A838,ESLData!$B$1:$B$9955,0))</f>
        <v>10485.34</v>
      </c>
      <c r="E838" s="363">
        <f>HLOOKUP("start",ESLData!F$1:F$9955,MATCH($A838,ESLData!$B$1:$B$9955,0))</f>
        <v>12000</v>
      </c>
      <c r="G838" s="363">
        <f>HLOOKUP("start",ESLData!H$1:H$9955,MATCH($A838,ESLData!$B$1:$B$9955,0))</f>
        <v>8614.42</v>
      </c>
      <c r="J838" s="382" t="s">
        <v>1304</v>
      </c>
      <c r="K838" s="368" t="str">
        <f>IF(ISNA(HLOOKUP("start",ESLData!C$1:C$9955,MATCH($A838,ESLData!$B$1:$B$9955,0))),"",HLOOKUP("start",ESLData!C$1:C$9955,MATCH($A838,ESLData!$B$1:$B$9955,0)))</f>
        <v>General Improvements</v>
      </c>
    </row>
    <row r="839" spans="1:12" s="368" customFormat="1" ht="14.25" customHeight="1" x14ac:dyDescent="0.2">
      <c r="A839" s="364">
        <v>57270</v>
      </c>
      <c r="C839" s="363">
        <f>HLOOKUP("start",ESLData!E$1:E$9955,MATCH($A839,ESLData!$B$1:$B$9955,0))</f>
        <v>2572.08</v>
      </c>
      <c r="E839" s="363">
        <f>HLOOKUP("start",ESLData!F$1:F$9955,MATCH($A839,ESLData!$B$1:$B$9955,0))</f>
        <v>2200</v>
      </c>
      <c r="G839" s="363">
        <f>HLOOKUP("start",ESLData!H$1:H$9955,MATCH($A839,ESLData!$B$1:$B$9955,0))</f>
        <v>2074.54</v>
      </c>
      <c r="J839" s="382" t="s">
        <v>1304</v>
      </c>
      <c r="K839" s="368" t="str">
        <f>IF(ISNA(HLOOKUP("start",ESLData!C$1:C$9955,MATCH($A839,ESLData!$B$1:$B$9955,0))),"",HLOOKUP("start",ESLData!C$1:C$9955,MATCH($A839,ESLData!$B$1:$B$9955,0)))</f>
        <v>Petrol</v>
      </c>
    </row>
    <row r="840" spans="1:12" s="368" customFormat="1" ht="14.25" customHeight="1" x14ac:dyDescent="0.2">
      <c r="A840" s="364">
        <v>57299</v>
      </c>
      <c r="C840" s="363">
        <f>HLOOKUP("start",ESLData!E$1:E$9955,MATCH($A840,ESLData!$B$1:$B$9955,0))</f>
        <v>1854.1</v>
      </c>
      <c r="D840" s="400">
        <f>ROUND(SUM(C838:C840),0)</f>
        <v>14912</v>
      </c>
      <c r="E840" s="363">
        <f>HLOOKUP("start",ESLData!F$1:F$9955,MATCH($A840,ESLData!$B$1:$B$9955,0))</f>
        <v>3500</v>
      </c>
      <c r="F840" s="381">
        <f>ROUND(SUM(E838:E840),0)</f>
        <v>17700</v>
      </c>
      <c r="G840" s="363">
        <f>HLOOKUP("start",ESLData!H$1:H$9955,MATCH($A840,ESLData!$B$1:$B$9955,0))</f>
        <v>2962.76</v>
      </c>
      <c r="H840" s="400">
        <f>ROUND(SUM(G838:G840),0)</f>
        <v>13652</v>
      </c>
      <c r="J840" s="382" t="s">
        <v>1304</v>
      </c>
      <c r="K840" s="368" t="str">
        <f>IF(ISNA(HLOOKUP("start",ESLData!C$1:C$9955,MATCH($A840,ESLData!$B$1:$B$9955,0))),"",HLOOKUP("start",ESLData!C$1:C$9955,MATCH($A840,ESLData!$B$1:$B$9955,0)))</f>
        <v>Grounds R &amp; M</v>
      </c>
    </row>
    <row r="841" spans="1:12" s="368" customFormat="1" ht="14.25" customHeight="1" x14ac:dyDescent="0.2">
      <c r="A841" s="367" t="s">
        <v>607</v>
      </c>
      <c r="C841" s="363"/>
      <c r="E841" s="363"/>
      <c r="G841" s="363"/>
      <c r="J841" s="382" t="s">
        <v>1304</v>
      </c>
      <c r="K841" s="368" t="str">
        <f>IF(ISNA(HLOOKUP("start",ESLData!C$1:C$9955,MATCH($A841,ESLData!$B$1:$B$9955,0))),"",HLOOKUP("start",ESLData!C$1:C$9955,MATCH($A841,ESLData!$B$1:$B$9955,0)))</f>
        <v/>
      </c>
    </row>
    <row r="842" spans="1:12" s="368" customFormat="1" ht="14.25" customHeight="1" x14ac:dyDescent="0.2">
      <c r="A842" s="364">
        <v>57320</v>
      </c>
      <c r="C842" s="363">
        <f>HLOOKUP("start",ESLData!E$1:E$9955,MATCH($A842,ESLData!$B$1:$B$9955,0))</f>
        <v>54732.42</v>
      </c>
      <c r="E842" s="363">
        <f>HLOOKUP("start",ESLData!F$1:F$9955,MATCH($A842,ESLData!$B$1:$B$9955,0))</f>
        <v>52000</v>
      </c>
      <c r="G842" s="363">
        <f>HLOOKUP("start",ESLData!H$1:H$9955,MATCH($A842,ESLData!$B$1:$B$9955,0))</f>
        <v>36444.660000000003</v>
      </c>
      <c r="J842" s="382" t="s">
        <v>1304</v>
      </c>
      <c r="K842" s="368" t="str">
        <f>IF(ISNA(HLOOKUP("start",ESLData!C$1:C$9955,MATCH($A842,ESLData!$B$1:$B$9955,0))),"",HLOOKUP("start",ESLData!C$1:C$9955,MATCH($A842,ESLData!$B$1:$B$9955,0)))</f>
        <v>Gas</v>
      </c>
    </row>
    <row r="843" spans="1:12" s="368" customFormat="1" ht="14.25" customHeight="1" x14ac:dyDescent="0.2">
      <c r="A843" s="364">
        <v>57340</v>
      </c>
      <c r="C843" s="363">
        <f>HLOOKUP("start",ESLData!E$1:E$9955,MATCH($A843,ESLData!$B$1:$B$9955,0))</f>
        <v>80925.149999999994</v>
      </c>
      <c r="E843" s="363">
        <f>HLOOKUP("start",ESLData!F$1:F$9955,MATCH($A843,ESLData!$B$1:$B$9955,0))</f>
        <v>85000</v>
      </c>
      <c r="G843" s="363">
        <f>HLOOKUP("start",ESLData!H$1:H$9955,MATCH($A843,ESLData!$B$1:$B$9955,0))</f>
        <v>67858.92</v>
      </c>
      <c r="J843" s="382" t="s">
        <v>1304</v>
      </c>
      <c r="K843" s="368" t="str">
        <f>IF(ISNA(HLOOKUP("start",ESLData!C$1:C$9955,MATCH($A843,ESLData!$B$1:$B$9955,0))),"",HLOOKUP("start",ESLData!C$1:C$9955,MATCH($A843,ESLData!$B$1:$B$9955,0)))</f>
        <v>Power</v>
      </c>
    </row>
    <row r="844" spans="1:12" s="368" customFormat="1" ht="14.25" customHeight="1" x14ac:dyDescent="0.2">
      <c r="A844" s="364">
        <v>57360</v>
      </c>
      <c r="C844" s="363">
        <f>HLOOKUP("start",ESLData!E$1:E$9955,MATCH($A844,ESLData!$B$1:$B$9955,0))</f>
        <v>40437.9</v>
      </c>
      <c r="D844" s="400">
        <f>ROUND(SUM(C842:C844),0)</f>
        <v>176095</v>
      </c>
      <c r="E844" s="363">
        <f>HLOOKUP("start",ESLData!F$1:F$9955,MATCH($A844,ESLData!$B$1:$B$9955,0))</f>
        <v>50000</v>
      </c>
      <c r="F844" s="381">
        <f>ROUND(SUM(E842:E844),0)</f>
        <v>187000</v>
      </c>
      <c r="G844" s="363">
        <f>HLOOKUP("start",ESLData!H$1:H$9955,MATCH($A844,ESLData!$B$1:$B$9955,0))</f>
        <v>37410.07</v>
      </c>
      <c r="H844" s="400">
        <f>ROUND(SUM(G842:G844),0)</f>
        <v>141714</v>
      </c>
      <c r="J844" s="382" t="s">
        <v>1304</v>
      </c>
      <c r="K844" s="368" t="str">
        <f>IF(ISNA(HLOOKUP("start",ESLData!C$1:C$9955,MATCH($A844,ESLData!$B$1:$B$9955,0))),"",HLOOKUP("start",ESLData!C$1:C$9955,MATCH($A844,ESLData!$B$1:$B$9955,0)))</f>
        <v>Water</v>
      </c>
    </row>
    <row r="845" spans="1:12" s="368" customFormat="1" ht="14.25" customHeight="1" x14ac:dyDescent="0.2">
      <c r="A845" s="367" t="s">
        <v>243</v>
      </c>
      <c r="C845" s="363"/>
      <c r="D845" s="369"/>
      <c r="E845" s="363"/>
      <c r="F845" s="369"/>
      <c r="G845" s="363"/>
      <c r="H845" s="369"/>
      <c r="J845" s="382" t="s">
        <v>1304</v>
      </c>
      <c r="K845" s="368" t="str">
        <f>IF(ISNA(HLOOKUP("start",ESLData!C$1:C$9955,MATCH($A845,ESLData!$B$1:$B$9955,0))),"",HLOOKUP("start",ESLData!C$1:C$9955,MATCH($A845,ESLData!$B$1:$B$9955,0)))</f>
        <v/>
      </c>
    </row>
    <row r="846" spans="1:12" s="368" customFormat="1" ht="14.25" customHeight="1" x14ac:dyDescent="0.2">
      <c r="A846" s="364">
        <v>57710</v>
      </c>
      <c r="C846" s="363">
        <f>HLOOKUP("start",ESLData!E$1:E$9955,MATCH($A846,ESLData!$B$1:$B$9955,0))</f>
        <v>2985.4</v>
      </c>
      <c r="E846" s="363">
        <f>HLOOKUP("start",ESLData!F$1:F$9955,MATCH($A846,ESLData!$B$1:$B$9955,0))</f>
        <v>2000</v>
      </c>
      <c r="G846" s="363">
        <f>HLOOKUP("start",ESLData!H$1:H$9955,MATCH($A846,ESLData!$B$1:$B$9955,0))</f>
        <v>1386.07</v>
      </c>
      <c r="J846" s="382" t="s">
        <v>1304</v>
      </c>
      <c r="K846" s="368" t="str">
        <f>IF(ISNA(HLOOKUP("start",ESLData!C$1:C$9955,MATCH($A846,ESLData!$B$1:$B$9955,0))),"",HLOOKUP("start",ESLData!C$1:C$9955,MATCH($A846,ESLData!$B$1:$B$9955,0)))</f>
        <v>R&amp;M - Fire Sprinkler System</v>
      </c>
    </row>
    <row r="847" spans="1:12" s="368" customFormat="1" ht="14.25" customHeight="1" x14ac:dyDescent="0.2">
      <c r="A847" s="364">
        <v>57260</v>
      </c>
      <c r="C847" s="363">
        <f>HLOOKUP("start",ESLData!E$1:E$9955,MATCH($A847,ESLData!$B$1:$B$9955,0))</f>
        <v>7536.27</v>
      </c>
      <c r="E847" s="363">
        <f>HLOOKUP("start",ESLData!F$1:F$9955,MATCH($A847,ESLData!$B$1:$B$9955,0))</f>
        <v>8000</v>
      </c>
      <c r="G847" s="363">
        <f>HLOOKUP("start",ESLData!H$1:H$9955,MATCH($A847,ESLData!$B$1:$B$9955,0))</f>
        <v>10322.219999999999</v>
      </c>
      <c r="J847" s="382" t="s">
        <v>1304</v>
      </c>
      <c r="K847" s="368" t="str">
        <f>IF(ISNA(HLOOKUP("start",ESLData!C$1:C$9955,MATCH($A847,ESLData!$B$1:$B$9955,0))),"",HLOOKUP("start",ESLData!C$1:C$9955,MATCH($A847,ESLData!$B$1:$B$9955,0)))</f>
        <v>Swimming Pool Costs</v>
      </c>
    </row>
    <row r="848" spans="1:12" s="368" customFormat="1" ht="14.25" customHeight="1" x14ac:dyDescent="0.2">
      <c r="A848" s="364">
        <v>57850</v>
      </c>
      <c r="C848" s="363">
        <f>HLOOKUP("start",ESLData!E$1:E$9955,MATCH($A848,ESLData!$B$1:$B$9955,0))</f>
        <v>0</v>
      </c>
      <c r="D848" s="400">
        <f>ROUND(SUM(C846:C848),0)</f>
        <v>10522</v>
      </c>
      <c r="E848" s="363">
        <f>HLOOKUP("start",ESLData!F$1:F$9955,MATCH($A848,ESLData!$B$1:$B$9955,0))</f>
        <v>0</v>
      </c>
      <c r="F848" s="381">
        <f>ROUND(SUM(E846:E848),0)</f>
        <v>10000</v>
      </c>
      <c r="G848" s="363">
        <f>HLOOKUP("start",ESLData!H$1:H$9955,MATCH($A848,ESLData!$B$1:$B$9955,0))</f>
        <v>0</v>
      </c>
      <c r="H848" s="400">
        <f>ROUND(SUM(G846:G848),0)</f>
        <v>11708</v>
      </c>
      <c r="J848" s="382" t="s">
        <v>1304</v>
      </c>
      <c r="K848" s="368" t="str">
        <f>IF(ISNA(HLOOKUP("start",ESLData!C$1:C$9955,MATCH($A848,ESLData!$B$1:$B$9955,0))),"",HLOOKUP("start",ESLData!C$1:C$9955,MATCH($A848,ESLData!$B$1:$B$9955,0)))</f>
        <v>Rates - School Property/Land</v>
      </c>
    </row>
    <row r="849" spans="1:11" s="368" customFormat="1" ht="14.25" customHeight="1" x14ac:dyDescent="0.2">
      <c r="A849" s="367" t="s">
        <v>600</v>
      </c>
      <c r="C849" s="363"/>
      <c r="E849" s="363"/>
      <c r="G849" s="363"/>
      <c r="J849" s="382" t="s">
        <v>1304</v>
      </c>
      <c r="K849" s="368" t="str">
        <f>IF(ISNA(HLOOKUP("start",ESLData!C$1:C$9955,MATCH($A849,ESLData!$B$1:$B$9955,0))),"",HLOOKUP("start",ESLData!C$1:C$9955,MATCH($A849,ESLData!$B$1:$B$9955,0)))</f>
        <v/>
      </c>
    </row>
    <row r="850" spans="1:11" s="368" customFormat="1" ht="14.25" customHeight="1" x14ac:dyDescent="0.2">
      <c r="A850" s="364">
        <v>57600</v>
      </c>
      <c r="C850" s="363">
        <f>HLOOKUP("start",ESLData!E$1:E$9955,MATCH($A850,ESLData!$B$1:$B$9955,0))</f>
        <v>8508.0499999999993</v>
      </c>
      <c r="D850" s="369"/>
      <c r="E850" s="363">
        <f>HLOOKUP("start",ESLData!F$1:F$9955,MATCH($A850,ESLData!$B$1:$B$9955,0))</f>
        <v>17000</v>
      </c>
      <c r="F850" s="369"/>
      <c r="G850" s="363">
        <f>HLOOKUP("start",ESLData!H$1:H$9955,MATCH($A850,ESLData!$B$1:$B$9955,0))</f>
        <v>5707.49</v>
      </c>
      <c r="H850" s="369"/>
      <c r="J850" s="382" t="s">
        <v>1304</v>
      </c>
      <c r="K850" s="368" t="str">
        <f>IF(ISNA(HLOOKUP("start",ESLData!C$1:C$9955,MATCH($A850,ESLData!$B$1:$B$9955,0))),"",HLOOKUP("start",ESLData!C$1:C$9955,MATCH($A850,ESLData!$B$1:$B$9955,0)))</f>
        <v>Minor Capital Works</v>
      </c>
    </row>
    <row r="851" spans="1:11" s="368" customFormat="1" ht="14.25" customHeight="1" x14ac:dyDescent="0.2">
      <c r="A851" s="364">
        <v>57620</v>
      </c>
      <c r="C851" s="363">
        <f>HLOOKUP("start",ESLData!E$1:E$9955,MATCH($A851,ESLData!$B$1:$B$9955,0))</f>
        <v>0</v>
      </c>
      <c r="E851" s="363">
        <f>HLOOKUP("start",ESLData!F$1:F$9955,MATCH($A851,ESLData!$B$1:$B$9955,0))</f>
        <v>0</v>
      </c>
      <c r="G851" s="363">
        <f>HLOOKUP("start",ESLData!H$1:H$9955,MATCH($A851,ESLData!$B$1:$B$9955,0))</f>
        <v>0</v>
      </c>
      <c r="J851" s="382" t="s">
        <v>1304</v>
      </c>
      <c r="K851" s="368" t="str">
        <f>IF(ISNA(HLOOKUP("start",ESLData!C$1:C$9955,MATCH($A851,ESLData!$B$1:$B$9955,0))),"",HLOOKUP("start",ESLData!C$1:C$9955,MATCH($A851,ESLData!$B$1:$B$9955,0)))</f>
        <v>Painting</v>
      </c>
    </row>
    <row r="852" spans="1:11" s="368" customFormat="1" ht="14.25" customHeight="1" x14ac:dyDescent="0.2">
      <c r="A852" s="364">
        <v>57630</v>
      </c>
      <c r="C852" s="363">
        <f>HLOOKUP("start",ESLData!E$1:E$9955,MATCH($A852,ESLData!$B$1:$B$9955,0))</f>
        <v>6516.12</v>
      </c>
      <c r="E852" s="363">
        <f>HLOOKUP("start",ESLData!F$1:F$9955,MATCH($A852,ESLData!$B$1:$B$9955,0))</f>
        <v>3500</v>
      </c>
      <c r="G852" s="363">
        <f>HLOOKUP("start",ESLData!H$1:H$9955,MATCH($A852,ESLData!$B$1:$B$9955,0))</f>
        <v>3515.86</v>
      </c>
      <c r="J852" s="382" t="s">
        <v>1304</v>
      </c>
      <c r="K852" s="368" t="str">
        <f>IF(ISNA(HLOOKUP("start",ESLData!C$1:C$9955,MATCH($A852,ESLData!$B$1:$B$9955,0))),"",HLOOKUP("start",ESLData!C$1:C$9955,MATCH($A852,ESLData!$B$1:$B$9955,0)))</f>
        <v>Consumables</v>
      </c>
    </row>
    <row r="853" spans="1:11" s="368" customFormat="1" ht="14.25" customHeight="1" x14ac:dyDescent="0.2">
      <c r="A853" s="364">
        <v>57605</v>
      </c>
      <c r="C853" s="363">
        <f>HLOOKUP("start",ESLData!E$1:E$9955,MATCH($A853,ESLData!$B$1:$B$9955,0))</f>
        <v>10763.98</v>
      </c>
      <c r="E853" s="363">
        <f>HLOOKUP("start",ESLData!F$1:F$9955,MATCH($A853,ESLData!$B$1:$B$9955,0))</f>
        <v>8000</v>
      </c>
      <c r="G853" s="363">
        <f>HLOOKUP("start",ESLData!H$1:H$9955,MATCH($A853,ESLData!$B$1:$B$9955,0))</f>
        <v>9284.08</v>
      </c>
      <c r="J853" s="382" t="s">
        <v>1304</v>
      </c>
      <c r="K853" s="368" t="str">
        <f>IF(ISNA(HLOOKUP("start",ESLData!C$1:C$9955,MATCH($A853,ESLData!$B$1:$B$9955,0))),"",HLOOKUP("start",ESLData!C$1:C$9955,MATCH($A853,ESLData!$B$1:$B$9955,0)))</f>
        <v>Building Servicing expenses</v>
      </c>
    </row>
    <row r="854" spans="1:11" s="368" customFormat="1" ht="14.25" customHeight="1" x14ac:dyDescent="0.2">
      <c r="A854" s="364">
        <v>57660</v>
      </c>
      <c r="C854" s="363">
        <f>HLOOKUP("start",ESLData!E$1:E$9955,MATCH($A854,ESLData!$B$1:$B$9955,0))</f>
        <v>44081.7</v>
      </c>
      <c r="E854" s="363">
        <f>HLOOKUP("start",ESLData!F$1:F$9955,MATCH($A854,ESLData!$B$1:$B$9955,0))</f>
        <v>32500</v>
      </c>
      <c r="G854" s="363">
        <f>HLOOKUP("start",ESLData!H$1:H$9955,MATCH($A854,ESLData!$B$1:$B$9955,0))</f>
        <v>37154.11</v>
      </c>
      <c r="J854" s="382" t="s">
        <v>1304</v>
      </c>
      <c r="K854" s="368" t="str">
        <f>IF(ISNA(HLOOKUP("start",ESLData!C$1:C$9955,MATCH($A854,ESLData!$B$1:$B$9955,0))),"",HLOOKUP("start",ESLData!C$1:C$9955,MATCH($A854,ESLData!$B$1:$B$9955,0)))</f>
        <v>R&amp;M - Buildings</v>
      </c>
    </row>
    <row r="855" spans="1:11" s="368" customFormat="1" ht="14.25" customHeight="1" x14ac:dyDescent="0.2">
      <c r="A855" s="364">
        <v>57665</v>
      </c>
      <c r="C855" s="363">
        <f>HLOOKUP("start",ESLData!E$1:E$9955,MATCH($A855,ESLData!$B$1:$B$9955,0))</f>
        <v>400</v>
      </c>
      <c r="E855" s="363">
        <f>HLOOKUP("start",ESLData!F$1:F$9955,MATCH($A855,ESLData!$B$1:$B$9955,0))</f>
        <v>2827</v>
      </c>
      <c r="G855" s="363">
        <f>HLOOKUP("start",ESLData!H$1:H$9955,MATCH($A855,ESLData!$B$1:$B$9955,0))</f>
        <v>0</v>
      </c>
      <c r="J855" s="382" t="s">
        <v>1304</v>
      </c>
      <c r="K855" s="368" t="str">
        <f>IF(ISNA(HLOOKUP("start",ESLData!C$1:C$9955,MATCH($A855,ESLData!$B$1:$B$9955,0))),"",HLOOKUP("start",ESLData!C$1:C$9955,MATCH($A855,ESLData!$B$1:$B$9955,0)))</f>
        <v>R &amp; M Buildings - Tauranga</v>
      </c>
    </row>
    <row r="856" spans="1:11" s="368" customFormat="1" ht="14.25" customHeight="1" x14ac:dyDescent="0.2">
      <c r="A856" s="364">
        <v>57760</v>
      </c>
      <c r="C856" s="363">
        <f>HLOOKUP("start",ESLData!E$1:E$9955,MATCH($A856,ESLData!$B$1:$B$9955,0))</f>
        <v>0</v>
      </c>
      <c r="D856" s="400">
        <f>ROUND(SUM(C850:C856),0)</f>
        <v>70270</v>
      </c>
      <c r="E856" s="363">
        <f>HLOOKUP("start",ESLData!F$1:F$9955,MATCH($A856,ESLData!$B$1:$B$9955,0))</f>
        <v>0</v>
      </c>
      <c r="F856" s="381">
        <f>ROUND(SUM(E850:E856),0)</f>
        <v>63827</v>
      </c>
      <c r="G856" s="363">
        <f>HLOOKUP("start",ESLData!H$1:H$9955,MATCH($A856,ESLData!$B$1:$B$9955,0))</f>
        <v>0</v>
      </c>
      <c r="H856" s="400">
        <f>ROUND(SUM(G850:G856),0)</f>
        <v>55662</v>
      </c>
      <c r="J856" s="382" t="s">
        <v>1304</v>
      </c>
      <c r="K856" s="368" t="str">
        <f>IF(ISNA(HLOOKUP("start",ESLData!C$1:C$9955,MATCH($A856,ESLData!$B$1:$B$9955,0))),"",HLOOKUP("start",ESLData!C$1:C$9955,MATCH($A856,ESLData!$B$1:$B$9955,0)))</f>
        <v>Vandalism</v>
      </c>
    </row>
    <row r="857" spans="1:11" s="368" customFormat="1" ht="14.25" customHeight="1" x14ac:dyDescent="0.2">
      <c r="A857" s="364"/>
      <c r="J857" s="382" t="s">
        <v>1304</v>
      </c>
      <c r="K857" s="368" t="str">
        <f>IF(ISNA(HLOOKUP("start",ESLData!C$1:C$9955,MATCH($A857,ESLData!$B$1:$B$9955,0))),"",HLOOKUP("start",ESLData!C$1:C$9955,MATCH($A857,ESLData!$B$1:$B$9955,0)))</f>
        <v/>
      </c>
    </row>
    <row r="858" spans="1:11" s="368" customFormat="1" ht="14.25" customHeight="1" x14ac:dyDescent="0.2">
      <c r="A858" s="367" t="s">
        <v>608</v>
      </c>
      <c r="C858" s="363"/>
      <c r="E858" s="363"/>
      <c r="G858" s="363"/>
      <c r="J858" s="382" t="s">
        <v>1304</v>
      </c>
      <c r="K858" s="368" t="str">
        <f>IF(ISNA(HLOOKUP("start",ESLData!C$1:C$9955,MATCH($A858,ESLData!$B$1:$B$9955,0))),"",HLOOKUP("start",ESLData!C$1:C$9955,MATCH($A858,ESLData!$B$1:$B$9955,0)))</f>
        <v/>
      </c>
    </row>
    <row r="859" spans="1:11" s="368" customFormat="1" ht="14.25" customHeight="1" x14ac:dyDescent="0.2">
      <c r="A859" s="364">
        <v>1905</v>
      </c>
      <c r="C859" s="363">
        <f>HLOOKUP("start",ESLData!E$1:E$9955,MATCH($A859,ESLData!$B$1:$B$9955,0))</f>
        <v>2386322</v>
      </c>
      <c r="D859" s="401">
        <f>ROUND(SUM(C859),0)</f>
        <v>2386322</v>
      </c>
      <c r="E859" s="363">
        <f>HLOOKUP("start",ESLData!F$1:F$9955,MATCH($A859,ESLData!$B$1:$B$9955,0))</f>
        <v>1696984</v>
      </c>
      <c r="F859" s="369">
        <f>ROUND(SUM(E859),0)</f>
        <v>1696984</v>
      </c>
      <c r="G859" s="402">
        <f>HLOOKUP("start",ESLData!H$1:H$9955,MATCH($A859,ESLData!$B$1:$B$9955,0))</f>
        <v>2386322</v>
      </c>
      <c r="H859" s="369">
        <f>ROUND(SUM(G859),0)</f>
        <v>2386322</v>
      </c>
      <c r="J859" s="382" t="s">
        <v>1304</v>
      </c>
      <c r="K859" s="368" t="str">
        <f>IF(ISNA(HLOOKUP("start",ESLData!C$1:C$9955,MATCH($A859,ESLData!$B$1:$B$9955,0))),"",HLOOKUP("start",ESLData!C$1:C$9955,MATCH($A859,ESLData!$B$1:$B$9955,0)))</f>
        <v>Use of Land and Buildings</v>
      </c>
    </row>
    <row r="860" spans="1:11" s="368" customFormat="1" ht="14.25" customHeight="1" x14ac:dyDescent="0.2">
      <c r="A860" s="367" t="s">
        <v>1050</v>
      </c>
      <c r="C860" s="363"/>
      <c r="E860" s="363"/>
      <c r="G860" s="363"/>
      <c r="J860" s="382" t="s">
        <v>1304</v>
      </c>
      <c r="K860" s="368" t="str">
        <f>IF(ISNA(HLOOKUP("start",ESLData!C$1:C$9955,MATCH($A860,ESLData!$B$1:$B$9955,0))),"",HLOOKUP("start",ESLData!C$1:C$9955,MATCH($A860,ESLData!$B$1:$B$9955,0)))</f>
        <v/>
      </c>
    </row>
    <row r="861" spans="1:11" s="368" customFormat="1" ht="14.25" customHeight="1" x14ac:dyDescent="0.2">
      <c r="A861" s="364">
        <v>57740</v>
      </c>
      <c r="C861" s="363">
        <f>HLOOKUP("start",ESLData!E$1:E$9955,MATCH($A861,ESLData!$B$1:$B$9955,0))</f>
        <v>11271.39</v>
      </c>
      <c r="D861" s="401">
        <f>ROUND(SUM(C861),0)</f>
        <v>11271</v>
      </c>
      <c r="E861" s="363">
        <f>HLOOKUP("start",ESLData!F$1:F$9955,MATCH($A861,ESLData!$B$1:$B$9955,0))</f>
        <v>8000</v>
      </c>
      <c r="F861" s="369">
        <f>ROUND(SUM(E861),0)</f>
        <v>8000</v>
      </c>
      <c r="G861" s="402">
        <f>HLOOKUP("start",ESLData!H$1:H$9955,MATCH($A861,ESLData!$B$1:$B$9955,0))</f>
        <v>7979</v>
      </c>
      <c r="H861" s="369">
        <f>ROUND(SUM(G861),0)</f>
        <v>7979</v>
      </c>
      <c r="J861" s="382" t="s">
        <v>1304</v>
      </c>
      <c r="K861" s="368" t="str">
        <f>IF(ISNA(HLOOKUP("start",ESLData!C$1:C$9955,MATCH($A861,ESLData!$B$1:$B$9955,0))),"",HLOOKUP("start",ESLData!C$1:C$9955,MATCH($A861,ESLData!$B$1:$B$9955,0)))</f>
        <v>Security</v>
      </c>
    </row>
    <row r="862" spans="1:11" s="368" customFormat="1" ht="14.25" customHeight="1" x14ac:dyDescent="0.2">
      <c r="A862" s="367" t="s">
        <v>831</v>
      </c>
      <c r="C862" s="363"/>
      <c r="E862" s="363"/>
      <c r="G862" s="363"/>
      <c r="J862" s="382" t="s">
        <v>1304</v>
      </c>
      <c r="K862" s="368" t="str">
        <f>IF(ISNA(HLOOKUP("start",ESLData!C$1:C$9955,MATCH($A862,ESLData!$B$1:$B$9955,0))),"",HLOOKUP("start",ESLData!C$1:C$9955,MATCH($A862,ESLData!$B$1:$B$9955,0)))</f>
        <v/>
      </c>
    </row>
    <row r="863" spans="1:11" s="368" customFormat="1" ht="14.25" customHeight="1" x14ac:dyDescent="0.2">
      <c r="A863" s="364">
        <v>57420</v>
      </c>
      <c r="C863" s="363">
        <f>HLOOKUP("start",ESLData!E$1:E$9955,MATCH($A863,ESLData!$B$1:$B$9955,0))</f>
        <v>197939.55</v>
      </c>
      <c r="E863" s="363">
        <f>HLOOKUP("start",ESLData!F$1:F$9955,MATCH($A863,ESLData!$B$1:$B$9955,0))</f>
        <v>199356</v>
      </c>
      <c r="G863" s="363">
        <f>HLOOKUP("start",ESLData!H$1:H$9955,MATCH($A863,ESLData!$B$1:$B$9955,0))</f>
        <v>190696.26</v>
      </c>
      <c r="J863" s="382" t="s">
        <v>1304</v>
      </c>
      <c r="K863" s="368" t="str">
        <f>IF(ISNA(HLOOKUP("start",ESLData!C$1:C$9955,MATCH($A863,ESLData!$B$1:$B$9955,0))),"",HLOOKUP("start",ESLData!C$1:C$9955,MATCH($A863,ESLData!$B$1:$B$9955,0)))</f>
        <v>Caretaker</v>
      </c>
    </row>
    <row r="864" spans="1:11" s="368" customFormat="1" ht="14.25" customHeight="1" x14ac:dyDescent="0.2">
      <c r="A864" s="364">
        <v>57485</v>
      </c>
      <c r="C864" s="363">
        <f>HLOOKUP("start",ESLData!E$1:E$9955,MATCH($A864,ESLData!$B$1:$B$9955,0))</f>
        <v>1060</v>
      </c>
      <c r="E864" s="363">
        <f>HLOOKUP("start",ESLData!F$1:F$9955,MATCH($A864,ESLData!$B$1:$B$9955,0))</f>
        <v>750</v>
      </c>
      <c r="G864" s="363">
        <f>HLOOKUP("start",ESLData!H$1:H$9955,MATCH($A864,ESLData!$B$1:$B$9955,0))</f>
        <v>538</v>
      </c>
      <c r="J864" s="382" t="s">
        <v>1304</v>
      </c>
      <c r="K864" s="368" t="str">
        <f>IF(ISNA(HLOOKUP("start",ESLData!C$1:C$9955,MATCH($A864,ESLData!$B$1:$B$9955,0))),"",HLOOKUP("start",ESLData!C$1:C$9955,MATCH($A864,ESLData!$B$1:$B$9955,0)))</f>
        <v>Training</v>
      </c>
    </row>
    <row r="865" spans="1:11" s="368" customFormat="1" ht="14.25" customHeight="1" x14ac:dyDescent="0.2">
      <c r="A865" s="364">
        <v>57487</v>
      </c>
      <c r="C865" s="363">
        <f>HLOOKUP("start",ESLData!E$1:E$9955,MATCH($A865,ESLData!$B$1:$B$9955,0))</f>
        <v>0</v>
      </c>
      <c r="D865" s="400">
        <f>ROUND(SUM(C863:C865),0)</f>
        <v>199000</v>
      </c>
      <c r="E865" s="363">
        <f>HLOOKUP("start",ESLData!F$1:F$9955,MATCH($A865,ESLData!$B$1:$B$9955,0))</f>
        <v>400</v>
      </c>
      <c r="F865" s="381">
        <f>ROUND(SUM(E863:E865),0)</f>
        <v>200506</v>
      </c>
      <c r="G865" s="363">
        <f>HLOOKUP("start",ESLData!H$1:H$9955,MATCH($A865,ESLData!$B$1:$B$9955,0))</f>
        <v>59.91</v>
      </c>
      <c r="H865" s="400">
        <f>ROUND(SUM(G863:G865),0)</f>
        <v>191294</v>
      </c>
      <c r="J865" s="382" t="s">
        <v>1304</v>
      </c>
      <c r="K865" s="368" t="str">
        <f>IF(ISNA(HLOOKUP("start",ESLData!C$1:C$9955,MATCH($A865,ESLData!$B$1:$B$9955,0))),"",HLOOKUP("start",ESLData!C$1:C$9955,MATCH($A865,ESLData!$B$1:$B$9955,0)))</f>
        <v>Protective Gear</v>
      </c>
    </row>
    <row r="866" spans="1:11" ht="14.25" customHeight="1" x14ac:dyDescent="0.2">
      <c r="A866" s="367" t="s">
        <v>879</v>
      </c>
      <c r="C866" s="363"/>
      <c r="E866" s="363"/>
      <c r="G866" s="363"/>
      <c r="J866" s="382" t="s">
        <v>1304</v>
      </c>
      <c r="K866" s="368" t="str">
        <f>IF(ISNA(HLOOKUP("start",ESLData!C$1:C$9955,MATCH($A866,ESLData!$B$1:$B$9955,0))),"",HLOOKUP("start",ESLData!C$1:C$9955,MATCH($A866,ESLData!$B$1:$B$9955,0)))</f>
        <v/>
      </c>
    </row>
    <row r="867" spans="1:11" ht="14.25" customHeight="1" x14ac:dyDescent="0.2">
      <c r="A867" s="364">
        <v>60860</v>
      </c>
      <c r="C867" s="363">
        <f>HLOOKUP("start",ESLData!E$1:E$9955,MATCH($A867,ESLData!$B$1:$B$9955,0))</f>
        <v>0</v>
      </c>
      <c r="E867" s="363">
        <f>HLOOKUP("start",ESLData!F$1:F$9955,MATCH($A867,ESLData!$B$1:$B$9955,0))</f>
        <v>0</v>
      </c>
      <c r="G867" s="363">
        <f>HLOOKUP("start",ESLData!H$1:H$9955,MATCH($A867,ESLData!$B$1:$B$9955,0))</f>
        <v>0</v>
      </c>
      <c r="J867" s="382" t="s">
        <v>1304</v>
      </c>
      <c r="K867" s="368" t="str">
        <f>IF(ISNA(HLOOKUP("start",ESLData!C$1:C$9955,MATCH($A867,ESLData!$B$1:$B$9955,0))),"",HLOOKUP("start",ESLData!C$1:C$9955,MATCH($A867,ESLData!$B$1:$B$9955,0)))</f>
        <v>Property Rental Costs</v>
      </c>
    </row>
    <row r="868" spans="1:11" ht="14.25" customHeight="1" x14ac:dyDescent="0.2">
      <c r="A868" s="364">
        <v>34765</v>
      </c>
      <c r="C868" s="363">
        <f>HLOOKUP("start",ESLData!E$1:E$9955,MATCH($A868,ESLData!$B$1:$B$9955,0))</f>
        <v>0</v>
      </c>
      <c r="E868" s="363">
        <f>HLOOKUP("start",ESLData!F$1:F$9955,MATCH($A868,ESLData!$B$1:$B$9955,0))</f>
        <v>0</v>
      </c>
      <c r="G868" s="363">
        <f>HLOOKUP("start",ESLData!H$1:H$9955,MATCH($A868,ESLData!$B$1:$B$9955,0))</f>
        <v>0</v>
      </c>
      <c r="J868" s="382" t="s">
        <v>1304</v>
      </c>
      <c r="K868" s="368" t="str">
        <f>IF(ISNA(HLOOKUP("start",ESLData!C$1:C$9955,MATCH($A868,ESLData!$B$1:$B$9955,0))),"",HLOOKUP("start",ESLData!C$1:C$9955,MATCH($A868,ESLData!$B$1:$B$9955,0)))</f>
        <v>Premises Rental - Kelburn</v>
      </c>
    </row>
    <row r="869" spans="1:11" ht="14.25" customHeight="1" x14ac:dyDescent="0.2">
      <c r="A869" s="364">
        <v>35125</v>
      </c>
      <c r="C869" s="363">
        <f>HLOOKUP("start",ESLData!E$1:E$9955,MATCH($A869,ESLData!$B$1:$B$9955,0))</f>
        <v>0</v>
      </c>
      <c r="E869" s="363">
        <f>HLOOKUP("start",ESLData!F$1:F$9955,MATCH($A869,ESLData!$B$1:$B$9955,0))</f>
        <v>0</v>
      </c>
      <c r="G869" s="363">
        <f>HLOOKUP("start",ESLData!H$1:H$9955,MATCH($A869,ESLData!$B$1:$B$9955,0))</f>
        <v>1166.95</v>
      </c>
      <c r="J869" s="382" t="s">
        <v>1304</v>
      </c>
      <c r="K869" s="368" t="str">
        <f>IF(ISNA(HLOOKUP("start",ESLData!C$1:C$9955,MATCH($A869,ESLData!$B$1:$B$9955,0))),"",HLOOKUP("start",ESLData!C$1:C$9955,MATCH($A869,ESLData!$B$1:$B$9955,0)))</f>
        <v>Property Rental Auck Vrc</v>
      </c>
    </row>
    <row r="870" spans="1:11" ht="14.25" customHeight="1" x14ac:dyDescent="0.2">
      <c r="A870" s="364">
        <v>35320</v>
      </c>
      <c r="C870" s="363">
        <f>HLOOKUP("start",ESLData!E$1:E$9955,MATCH($A870,ESLData!$B$1:$B$9955,0))</f>
        <v>0</v>
      </c>
      <c r="E870" s="363">
        <f>HLOOKUP("start",ESLData!F$1:F$9955,MATCH($A870,ESLData!$B$1:$B$9955,0))</f>
        <v>0</v>
      </c>
      <c r="G870" s="363">
        <f>HLOOKUP("start",ESLData!H$1:H$9955,MATCH($A870,ESLData!$B$1:$B$9955,0))</f>
        <v>1847.82</v>
      </c>
      <c r="J870" s="382" t="s">
        <v>1304</v>
      </c>
      <c r="K870" s="368" t="str">
        <f>IF(ISNA(HLOOKUP("start",ESLData!C$1:C$9955,MATCH($A870,ESLData!$B$1:$B$9955,0))),"",HLOOKUP("start",ESLData!C$1:C$9955,MATCH($A870,ESLData!$B$1:$B$9955,0)))</f>
        <v>Property Rental - External</v>
      </c>
    </row>
    <row r="871" spans="1:11" ht="14.25" customHeight="1" x14ac:dyDescent="0.2">
      <c r="A871" s="364">
        <v>35620</v>
      </c>
      <c r="C871" s="363">
        <f>HLOOKUP("start",ESLData!E$1:E$9955,MATCH($A871,ESLData!$B$1:$B$9955,0))</f>
        <v>0</v>
      </c>
      <c r="E871" s="363">
        <f>HLOOKUP("start",ESLData!F$1:F$9955,MATCH($A871,ESLData!$B$1:$B$9955,0))</f>
        <v>0</v>
      </c>
      <c r="G871" s="363">
        <f>HLOOKUP("start",ESLData!H$1:H$9955,MATCH($A871,ESLData!$B$1:$B$9955,0))</f>
        <v>1000</v>
      </c>
      <c r="J871" s="382" t="s">
        <v>1304</v>
      </c>
      <c r="K871" s="368" t="str">
        <f>IF(ISNA(HLOOKUP("start",ESLData!C$1:C$9955,MATCH($A871,ESLData!$B$1:$B$9955,0))),"",HLOOKUP("start",ESLData!C$1:C$9955,MATCH($A871,ESLData!$B$1:$B$9955,0)))</f>
        <v>Property Rental - External</v>
      </c>
    </row>
    <row r="872" spans="1:11" ht="14.25" customHeight="1" x14ac:dyDescent="0.2">
      <c r="A872" s="364">
        <v>39005</v>
      </c>
      <c r="C872" s="363">
        <f>HLOOKUP("start",ESLData!E$1:E$9955,MATCH($A872,ESLData!$B$1:$B$9955,0))</f>
        <v>521.73</v>
      </c>
      <c r="E872" s="363">
        <f>HLOOKUP("start",ESLData!F$1:F$9955,MATCH($A872,ESLData!$B$1:$B$9955,0))</f>
        <v>0</v>
      </c>
      <c r="G872" s="363">
        <f>HLOOKUP("start",ESLData!H$1:H$9955,MATCH($A872,ESLData!$B$1:$B$9955,0))</f>
        <v>2113.65</v>
      </c>
      <c r="J872" s="382" t="s">
        <v>1304</v>
      </c>
      <c r="K872" s="368" t="str">
        <f>IF(ISNA(HLOOKUP("start",ESLData!C$1:C$9955,MATCH($A872,ESLData!$B$1:$B$9955,0))),"",HLOOKUP("start",ESLData!C$1:C$9955,MATCH($A872,ESLData!$B$1:$B$9955,0)))</f>
        <v>Property Rental - External</v>
      </c>
    </row>
    <row r="873" spans="1:11" ht="14.25" customHeight="1" x14ac:dyDescent="0.2">
      <c r="A873" s="364">
        <v>39055</v>
      </c>
      <c r="C873" s="363">
        <f>HLOOKUP("start",ESLData!E$1:E$9955,MATCH($A873,ESLData!$B$1:$B$9955,0))</f>
        <v>0</v>
      </c>
      <c r="E873" s="363">
        <f>HLOOKUP("start",ESLData!F$1:F$9955,MATCH($A873,ESLData!$B$1:$B$9955,0))</f>
        <v>0</v>
      </c>
      <c r="G873" s="363">
        <f>HLOOKUP("start",ESLData!H$1:H$9955,MATCH($A873,ESLData!$B$1:$B$9955,0))</f>
        <v>9120.5499999999993</v>
      </c>
      <c r="J873" s="382" t="s">
        <v>1304</v>
      </c>
      <c r="K873" s="368" t="str">
        <f>IF(ISNA(HLOOKUP("start",ESLData!C$1:C$9955,MATCH($A873,ESLData!$B$1:$B$9955,0))),"",HLOOKUP("start",ESLData!C$1:C$9955,MATCH($A873,ESLData!$B$1:$B$9955,0)))</f>
        <v>Property</v>
      </c>
    </row>
    <row r="874" spans="1:11" ht="14.25" customHeight="1" x14ac:dyDescent="0.2">
      <c r="A874" s="364">
        <v>39105</v>
      </c>
      <c r="C874" s="363">
        <f>HLOOKUP("start",ESLData!E$1:E$9955,MATCH($A874,ESLData!$B$1:$B$9955,0))</f>
        <v>0</v>
      </c>
      <c r="E874" s="363">
        <f>HLOOKUP("start",ESLData!F$1:F$9955,MATCH($A874,ESLData!$B$1:$B$9955,0))</f>
        <v>0</v>
      </c>
      <c r="G874" s="363">
        <f>HLOOKUP("start",ESLData!H$1:H$9955,MATCH($A874,ESLData!$B$1:$B$9955,0))</f>
        <v>400.17</v>
      </c>
      <c r="J874" s="382" t="s">
        <v>1304</v>
      </c>
      <c r="K874" s="368" t="str">
        <f>IF(ISNA(HLOOKUP("start",ESLData!C$1:C$9955,MATCH($A874,ESLData!$B$1:$B$9955,0))),"",HLOOKUP("start",ESLData!C$1:C$9955,MATCH($A874,ESLData!$B$1:$B$9955,0)))</f>
        <v>Property Rental - External</v>
      </c>
    </row>
    <row r="875" spans="1:11" ht="14.25" customHeight="1" x14ac:dyDescent="0.2">
      <c r="A875" s="364">
        <v>39155</v>
      </c>
      <c r="C875" s="363">
        <f>HLOOKUP("start",ESLData!E$1:E$9955,MATCH($A875,ESLData!$B$1:$B$9955,0))</f>
        <v>20.97</v>
      </c>
      <c r="E875" s="363">
        <f>HLOOKUP("start",ESLData!F$1:F$9955,MATCH($A875,ESLData!$B$1:$B$9955,0))</f>
        <v>0</v>
      </c>
      <c r="G875" s="363">
        <f>HLOOKUP("start",ESLData!H$1:H$9955,MATCH($A875,ESLData!$B$1:$B$9955,0))</f>
        <v>1683.42</v>
      </c>
      <c r="J875" s="382" t="s">
        <v>1304</v>
      </c>
      <c r="K875" s="368" t="str">
        <f>IF(ISNA(HLOOKUP("start",ESLData!C$1:C$9955,MATCH($A875,ESLData!$B$1:$B$9955,0))),"",HLOOKUP("start",ESLData!C$1:C$9955,MATCH($A875,ESLData!$B$1:$B$9955,0)))</f>
        <v>Property Rental - External</v>
      </c>
    </row>
    <row r="876" spans="1:11" ht="14.25" customHeight="1" x14ac:dyDescent="0.2">
      <c r="A876" s="364">
        <v>39205</v>
      </c>
      <c r="C876" s="363">
        <f>HLOOKUP("start",ESLData!E$1:E$9955,MATCH($A876,ESLData!$B$1:$B$9955,0))</f>
        <v>0</v>
      </c>
      <c r="E876" s="363">
        <f>HLOOKUP("start",ESLData!F$1:F$9955,MATCH($A876,ESLData!$B$1:$B$9955,0))</f>
        <v>0</v>
      </c>
      <c r="G876" s="363">
        <f>HLOOKUP("start",ESLData!H$1:H$9955,MATCH($A876,ESLData!$B$1:$B$9955,0))</f>
        <v>2173.91</v>
      </c>
      <c r="J876" s="382" t="s">
        <v>1304</v>
      </c>
      <c r="K876" s="368" t="str">
        <f>IF(ISNA(HLOOKUP("start",ESLData!C$1:C$9955,MATCH($A876,ESLData!$B$1:$B$9955,0))),"",HLOOKUP("start",ESLData!C$1:C$9955,MATCH($A876,ESLData!$B$1:$B$9955,0)))</f>
        <v>Property Rental - External</v>
      </c>
    </row>
    <row r="877" spans="1:11" ht="14.25" customHeight="1" x14ac:dyDescent="0.2">
      <c r="A877" s="364">
        <v>39255</v>
      </c>
      <c r="C877" s="363">
        <f>HLOOKUP("start",ESLData!E$1:E$9955,MATCH($A877,ESLData!$B$1:$B$9955,0))</f>
        <v>0</v>
      </c>
      <c r="E877" s="363">
        <f>HLOOKUP("start",ESLData!F$1:F$9955,MATCH($A877,ESLData!$B$1:$B$9955,0))</f>
        <v>0</v>
      </c>
      <c r="G877" s="363">
        <f>HLOOKUP("start",ESLData!H$1:H$9955,MATCH($A877,ESLData!$B$1:$B$9955,0))</f>
        <v>4067.65</v>
      </c>
      <c r="J877" s="382" t="s">
        <v>1304</v>
      </c>
      <c r="K877" s="368" t="str">
        <f>IF(ISNA(HLOOKUP("start",ESLData!C$1:C$9955,MATCH($A877,ESLData!$B$1:$B$9955,0))),"",HLOOKUP("start",ESLData!C$1:C$9955,MATCH($A877,ESLData!$B$1:$B$9955,0)))</f>
        <v>Property Rental - External</v>
      </c>
    </row>
    <row r="878" spans="1:11" ht="14.25" customHeight="1" x14ac:dyDescent="0.2">
      <c r="A878" s="364">
        <v>39305</v>
      </c>
      <c r="C878" s="363">
        <f>HLOOKUP("start",ESLData!E$1:E$9955,MATCH($A878,ESLData!$B$1:$B$9955,0))</f>
        <v>8504.7800000000007</v>
      </c>
      <c r="E878" s="363">
        <f>HLOOKUP("start",ESLData!F$1:F$9955,MATCH($A878,ESLData!$B$1:$B$9955,0))</f>
        <v>0</v>
      </c>
      <c r="G878" s="363">
        <f>HLOOKUP("start",ESLData!H$1:H$9955,MATCH($A878,ESLData!$B$1:$B$9955,0))</f>
        <v>12310.44</v>
      </c>
      <c r="J878" s="382" t="s">
        <v>1304</v>
      </c>
      <c r="K878" s="368" t="str">
        <f>IF(ISNA(HLOOKUP("start",ESLData!C$1:C$9955,MATCH($A878,ESLData!$B$1:$B$9955,0))),"",HLOOKUP("start",ESLData!C$1:C$9955,MATCH($A878,ESLData!$B$1:$B$9955,0)))</f>
        <v>Property Rental - External</v>
      </c>
    </row>
    <row r="879" spans="1:11" ht="14.25" customHeight="1" x14ac:dyDescent="0.2">
      <c r="A879" s="364">
        <v>39355</v>
      </c>
      <c r="C879" s="363">
        <f>HLOOKUP("start",ESLData!E$1:E$9955,MATCH($A879,ESLData!$B$1:$B$9955,0))</f>
        <v>97.28</v>
      </c>
      <c r="E879" s="363">
        <f>HLOOKUP("start",ESLData!F$1:F$9955,MATCH($A879,ESLData!$B$1:$B$9955,0))</f>
        <v>0</v>
      </c>
      <c r="G879" s="363">
        <f>HLOOKUP("start",ESLData!H$1:H$9955,MATCH($A879,ESLData!$B$1:$B$9955,0))</f>
        <v>1600.57</v>
      </c>
      <c r="J879" s="382" t="s">
        <v>1304</v>
      </c>
      <c r="K879" s="368" t="str">
        <f>IF(ISNA(HLOOKUP("start",ESLData!C$1:C$9955,MATCH($A879,ESLData!$B$1:$B$9955,0))),"",HLOOKUP("start",ESLData!C$1:C$9955,MATCH($A879,ESLData!$B$1:$B$9955,0)))</f>
        <v>Property Rental - External</v>
      </c>
    </row>
    <row r="880" spans="1:11" ht="14.25" customHeight="1" x14ac:dyDescent="0.2">
      <c r="A880" s="364">
        <v>39420</v>
      </c>
      <c r="C880" s="363">
        <f>HLOOKUP("start",ESLData!E$1:E$9955,MATCH($A880,ESLData!$B$1:$B$9955,0))</f>
        <v>1396.08</v>
      </c>
      <c r="E880" s="363">
        <f>HLOOKUP("start",ESLData!F$1:F$9955,MATCH($A880,ESLData!$B$1:$B$9955,0))</f>
        <v>0</v>
      </c>
      <c r="G880" s="363">
        <f>HLOOKUP("start",ESLData!H$1:H$9955,MATCH($A880,ESLData!$B$1:$B$9955,0))</f>
        <v>4182.79</v>
      </c>
      <c r="J880" s="382" t="s">
        <v>1304</v>
      </c>
      <c r="K880" s="368" t="str">
        <f>IF(ISNA(HLOOKUP("start",ESLData!C$1:C$9955,MATCH($A880,ESLData!$B$1:$B$9955,0))),"",HLOOKUP("start",ESLData!C$1:C$9955,MATCH($A880,ESLData!$B$1:$B$9955,0)))</f>
        <v>Property Rental</v>
      </c>
    </row>
    <row r="881" spans="1:11" ht="14.25" customHeight="1" x14ac:dyDescent="0.2">
      <c r="A881" s="364">
        <v>35715</v>
      </c>
      <c r="C881" s="363">
        <f>HLOOKUP("start",ESLData!E$1:E$9955,MATCH($A881,ESLData!$B$1:$B$9955,0))</f>
        <v>0</v>
      </c>
      <c r="E881" s="363">
        <f>HLOOKUP("start",ESLData!F$1:F$9955,MATCH($A881,ESLData!$B$1:$B$9955,0))</f>
        <v>0</v>
      </c>
      <c r="G881" s="363">
        <f>HLOOKUP("start",ESLData!H$1:H$9955,MATCH($A881,ESLData!$B$1:$B$9955,0))</f>
        <v>0</v>
      </c>
      <c r="J881" s="382"/>
      <c r="K881" s="368" t="str">
        <f>IF(ISNA(HLOOKUP("start",ESLData!C$1:C$9955,MATCH($A881,ESLData!$B$1:$B$9955,0))),"",HLOOKUP("start",ESLData!C$1:C$9955,MATCH($A881,ESLData!$B$1:$B$9955,0)))</f>
        <v>Vehicle Rental</v>
      </c>
    </row>
    <row r="882" spans="1:11" ht="14.25" customHeight="1" x14ac:dyDescent="0.2">
      <c r="A882" s="364">
        <v>62150</v>
      </c>
      <c r="C882" s="363">
        <f>HLOOKUP("start",ESLData!E$1:E$9955,MATCH($A882,ESLData!$B$1:$B$9955,0))</f>
        <v>0</v>
      </c>
      <c r="E882" s="363">
        <f>HLOOKUP("start",ESLData!F$1:F$9955,MATCH($A882,ESLData!$B$1:$B$9955,0))</f>
        <v>0</v>
      </c>
      <c r="G882" s="363">
        <f>HLOOKUP("start",ESLData!H$1:H$9955,MATCH($A882,ESLData!$B$1:$B$9955,0))</f>
        <v>0</v>
      </c>
      <c r="J882" s="382" t="s">
        <v>1304</v>
      </c>
      <c r="K882" s="368" t="str">
        <f>IF(ISNA(HLOOKUP("start",ESLData!C$1:C$9955,MATCH($A882,ESLData!$B$1:$B$9955,0))),"",HLOOKUP("start",ESLData!C$1:C$9955,MATCH($A882,ESLData!$B$1:$B$9955,0)))</f>
        <v>Property Rental</v>
      </c>
    </row>
    <row r="883" spans="1:11" ht="14.25" customHeight="1" x14ac:dyDescent="0.2">
      <c r="A883" s="364">
        <v>63150</v>
      </c>
      <c r="C883" s="363">
        <f>HLOOKUP("start",ESLData!E$1:E$9955,MATCH($A883,ESLData!$B$1:$B$9955,0))</f>
        <v>0</v>
      </c>
      <c r="D883" s="400">
        <f>ROUND(SUM(C867:C883),0)</f>
        <v>10541</v>
      </c>
      <c r="E883" s="363">
        <f>HLOOKUP("start",ESLData!F$1:F$9955,MATCH($A883,ESLData!$B$1:$B$9955,0))</f>
        <v>0</v>
      </c>
      <c r="F883" s="381">
        <f>ROUND(SUM(E867:E883),0)</f>
        <v>0</v>
      </c>
      <c r="G883" s="363">
        <f>HLOOKUP("start",ESLData!H$1:H$9955,MATCH($A883,ESLData!$B$1:$B$9955,0))</f>
        <v>1200</v>
      </c>
      <c r="H883" s="400">
        <f>ROUND(SUM(G867:G883),0)</f>
        <v>42868</v>
      </c>
      <c r="J883" s="382" t="s">
        <v>1304</v>
      </c>
      <c r="K883" s="368" t="str">
        <f>IF(ISNA(HLOOKUP("start",ESLData!C$1:C$9955,MATCH($A883,ESLData!$B$1:$B$9955,0))),"",HLOOKUP("start",ESLData!C$1:C$9955,MATCH($A883,ESLData!$B$1:$B$9955,0)))</f>
        <v>Property Rental</v>
      </c>
    </row>
    <row r="884" spans="1:11" s="368" customFormat="1" ht="14.25" customHeight="1" x14ac:dyDescent="0.2">
      <c r="A884" s="364"/>
      <c r="C884" s="363"/>
      <c r="D884" s="369"/>
      <c r="E884" s="363"/>
      <c r="F884" s="369"/>
      <c r="G884" s="363"/>
      <c r="H884" s="369"/>
      <c r="J884" s="382" t="s">
        <v>1304</v>
      </c>
      <c r="K884" s="368" t="str">
        <f>IF(ISNA(HLOOKUP("start",ESLData!C$1:C$9955,MATCH($A884,ESLData!$B$1:$B$9955,0))),"",HLOOKUP("start",ESLData!C$1:C$9955,MATCH($A884,ESLData!$B$1:$B$9955,0)))</f>
        <v/>
      </c>
    </row>
    <row r="885" spans="1:11" ht="14.25" customHeight="1" x14ac:dyDescent="0.2">
      <c r="A885" s="367" t="s">
        <v>807</v>
      </c>
      <c r="C885" s="363"/>
      <c r="E885" s="363"/>
      <c r="G885" s="363"/>
      <c r="J885" s="382" t="s">
        <v>1304</v>
      </c>
      <c r="K885" s="368" t="str">
        <f>IF(ISNA(HLOOKUP("start",ESLData!C$1:C$9955,MATCH($A885,ESLData!$B$1:$B$9955,0))),"",HLOOKUP("start",ESLData!C$1:C$9955,MATCH($A885,ESLData!$B$1:$B$9955,0)))</f>
        <v/>
      </c>
    </row>
    <row r="886" spans="1:11" ht="14.25" customHeight="1" x14ac:dyDescent="0.2">
      <c r="A886" s="364">
        <v>2910</v>
      </c>
      <c r="C886" s="363">
        <f>HLOOKUP("start",ESLData!E$1:E$9955,MATCH($A886,ESLData!$B$1:$B$9955,0))</f>
        <v>443582.45</v>
      </c>
      <c r="D886" s="401">
        <f>ROUND(SUM(C886),0)</f>
        <v>443582</v>
      </c>
      <c r="E886" s="363">
        <f>HLOOKUP("start",ESLData!F$1:F$9955,MATCH($A886,ESLData!$B$1:$B$9955,0))</f>
        <v>381000</v>
      </c>
      <c r="F886" s="369">
        <f>ROUND(SUM(E886),0)</f>
        <v>381000</v>
      </c>
      <c r="G886" s="402">
        <f>HLOOKUP("start",ESLData!H$1:H$9955,MATCH($A886,ESLData!$B$1:$B$9955,0))</f>
        <v>395909.16</v>
      </c>
      <c r="H886" s="369">
        <f>ROUND(SUM(G886),0)</f>
        <v>395909</v>
      </c>
      <c r="J886" s="382" t="s">
        <v>1304</v>
      </c>
      <c r="K886" s="368" t="str">
        <f>IF(ISNA(HLOOKUP("start",ESLData!C$1:C$9955,MATCH($A886,ESLData!$B$1:$B$9955,0))),"",HLOOKUP("start",ESLData!C$1:C$9955,MATCH($A886,ESLData!$B$1:$B$9955,0)))</f>
        <v>Depreciation</v>
      </c>
    </row>
    <row r="887" spans="1:11" ht="14.25" customHeight="1" x14ac:dyDescent="0.2">
      <c r="A887" s="364">
        <v>2920</v>
      </c>
      <c r="C887" s="363">
        <f>HLOOKUP("start",ESLData!E$1:E$9955,MATCH($A887,ESLData!$B$1:$B$9955,0))</f>
        <v>8490.64</v>
      </c>
      <c r="D887" s="401">
        <f>ROUND(SUM(C887),0)</f>
        <v>8491</v>
      </c>
      <c r="E887" s="363">
        <f>HLOOKUP("start",ESLData!F$1:F$9955,MATCH($A887,ESLData!$B$1:$B$9955,0))</f>
        <v>0</v>
      </c>
      <c r="F887" s="369">
        <f>ROUND(SUM(E887),0)</f>
        <v>0</v>
      </c>
      <c r="G887" s="363">
        <f>HLOOKUP("start",ESLData!H$1:H$9955,MATCH($A887,ESLData!$B$1:$B$9955,0))</f>
        <v>6179.94</v>
      </c>
      <c r="H887" s="401">
        <f>ROUND(SUM(G887),0)</f>
        <v>6180</v>
      </c>
      <c r="J887" s="382" t="s">
        <v>1304</v>
      </c>
      <c r="K887" s="368" t="str">
        <f>IF(ISNA(HLOOKUP("start",ESLData!C$1:C$9955,MATCH($A887,ESLData!$B$1:$B$9955,0))),"",HLOOKUP("start",ESLData!C$1:C$9955,MATCH($A887,ESLData!$B$1:$B$9955,0)))</f>
        <v>Loss on Disposal of Property, Plant and Equipment</v>
      </c>
    </row>
    <row r="888" spans="1:11" ht="14.25" customHeight="1" x14ac:dyDescent="0.2">
      <c r="A888" s="364">
        <v>2930</v>
      </c>
      <c r="C888" s="363">
        <f>HLOOKUP("start",ESLData!E$1:E$9955,MATCH($A888,ESLData!$B$1:$B$9955,0))*-1</f>
        <v>304.35000000000002</v>
      </c>
      <c r="D888" s="400">
        <f>ROUND(SUM(C888),0)</f>
        <v>304</v>
      </c>
      <c r="E888" s="363">
        <f>HLOOKUP("start",ESLData!F$1:F$9955,MATCH($A888,ESLData!$B$1:$B$9955,0))*-1</f>
        <v>0</v>
      </c>
      <c r="F888" s="381">
        <f>ROUND(SUM(E888),0)</f>
        <v>0</v>
      </c>
      <c r="G888" s="363">
        <f>HLOOKUP("start",ESLData!H$1:H$9955,MATCH($A888,ESLData!$B$1:$B$9955,0))*-1</f>
        <v>1739.13</v>
      </c>
      <c r="H888" s="400">
        <f>ROUND(SUM(G888),0)</f>
        <v>1739</v>
      </c>
      <c r="J888" s="382" t="s">
        <v>1304</v>
      </c>
      <c r="K888" s="368" t="str">
        <f>IF(ISNA(HLOOKUP("start",ESLData!C$1:C$9955,MATCH($A888,ESLData!$B$1:$B$9955,0))),"",HLOOKUP("start",ESLData!C$1:C$9955,MATCH($A888,ESLData!$B$1:$B$9955,0)))</f>
        <v>Gain on Sale of Property, Plant and Equipment</v>
      </c>
    </row>
    <row r="889" spans="1:11" ht="14.25" customHeight="1" x14ac:dyDescent="0.2">
      <c r="A889" s="367" t="s">
        <v>1227</v>
      </c>
      <c r="C889" s="363"/>
      <c r="D889" s="369"/>
      <c r="E889" s="363"/>
      <c r="G889" s="363"/>
      <c r="H889" s="369"/>
      <c r="J889" s="382" t="s">
        <v>1304</v>
      </c>
      <c r="K889" s="368" t="str">
        <f>IF(ISNA(HLOOKUP("start",ESLData!C$1:C$9955,MATCH($A889,ESLData!$B$1:$B$9955,0))),"",HLOOKUP("start",ESLData!C$1:C$9955,MATCH($A889,ESLData!$B$1:$B$9955,0)))</f>
        <v/>
      </c>
    </row>
    <row r="890" spans="1:11" ht="14.25" customHeight="1" x14ac:dyDescent="0.2">
      <c r="A890" s="364">
        <v>1597</v>
      </c>
      <c r="C890" s="363">
        <f>HLOOKUP("start",ESLData!E$1:E$9955,MATCH($A890,ESLData!$B$1:$B$9955,0))</f>
        <v>12848.26</v>
      </c>
      <c r="D890" s="401">
        <f>ROUND(SUM(C890),0)</f>
        <v>12848</v>
      </c>
      <c r="E890" s="363">
        <f>HLOOKUP("start",ESLData!F$1:F$9955,MATCH($A890,ESLData!$B$1:$B$9955,0))</f>
        <v>6241</v>
      </c>
      <c r="F890" s="369">
        <f>ROUND(SUM(E890),0)</f>
        <v>6241</v>
      </c>
      <c r="G890" s="402">
        <f>HLOOKUP("start",ESLData!H$1:H$9955,MATCH($A890,ESLData!$B$1:$B$9955,0))</f>
        <v>11528.19</v>
      </c>
      <c r="H890" s="369">
        <f>ROUND(SUM(G890),0)</f>
        <v>11528</v>
      </c>
      <c r="J890" s="382" t="s">
        <v>1304</v>
      </c>
      <c r="K890" s="368" t="str">
        <f>IF(ISNA(HLOOKUP("start",ESLData!C$1:C$9955,MATCH($A890,ESLData!$B$1:$B$9955,0))),"",HLOOKUP("start",ESLData!C$1:C$9955,MATCH($A890,ESLData!$B$1:$B$9955,0)))</f>
        <v>Lease interest</v>
      </c>
    </row>
    <row r="891" spans="1:11" ht="14.25" customHeight="1" x14ac:dyDescent="0.2">
      <c r="C891" s="363"/>
      <c r="D891" s="369"/>
      <c r="E891" s="363"/>
      <c r="G891" s="363"/>
      <c r="H891" s="369"/>
      <c r="K891" s="368" t="str">
        <f>IF(ISNA(HLOOKUP("start",ESLData!C$1:C$9955,MATCH($A891,ESLData!$B$1:$B$9955,0))),"",HLOOKUP("start",ESLData!C$1:C$9955,MATCH($A891,ESLData!$B$1:$B$9955,0)))</f>
        <v/>
      </c>
    </row>
    <row r="892" spans="1:11" s="377" customFormat="1" ht="22.5" customHeight="1" x14ac:dyDescent="0.35">
      <c r="A892" s="404" t="s">
        <v>1289</v>
      </c>
      <c r="B892" s="380"/>
      <c r="C892" s="378" t="s">
        <v>1303</v>
      </c>
      <c r="D892" s="380"/>
      <c r="E892" s="378"/>
      <c r="F892" s="380"/>
      <c r="G892" s="378"/>
      <c r="H892" s="380"/>
      <c r="K892" s="368" t="str">
        <f>IF(ISNA(HLOOKUP("start",ESLData!C$1:C$9955,MATCH($A892,ESLData!$B$1:$B$9955,0))),"",HLOOKUP("start",ESLData!C$1:C$9955,MATCH($A892,ESLData!$B$1:$B$9955,0)))</f>
        <v/>
      </c>
    </row>
    <row r="893" spans="1:11" s="375" customFormat="1" ht="14.25" customHeight="1" x14ac:dyDescent="0.2">
      <c r="A893" s="364">
        <v>38946</v>
      </c>
      <c r="B893" s="368"/>
      <c r="C893" s="363">
        <f>HLOOKUP("start",ESLData!E$1:E$9955,MATCH($A893,ESLData!$B$1:$B$9955,0))</f>
        <v>0</v>
      </c>
      <c r="D893" s="368"/>
      <c r="E893" s="363">
        <f>HLOOKUP("start",ESLData!F$1:F$9955,MATCH($A893,ESLData!$B$1:$B$9955,0))</f>
        <v>0</v>
      </c>
      <c r="F893" s="368"/>
      <c r="G893" s="363">
        <f>HLOOKUP("start",ESLData!H$1:H$9955,MATCH($A893,ESLData!$B$1:$B$9955,0))</f>
        <v>0</v>
      </c>
      <c r="H893" s="368"/>
      <c r="K893" s="368" t="str">
        <f>IF(ISNA(HLOOKUP("start",ESLData!C$1:C$9955,MATCH($A893,ESLData!$B$1:$B$9955,0))),"",HLOOKUP("start",ESLData!C$1:C$9955,MATCH($A893,ESLData!$B$1:$B$9955,0)))</f>
        <v>New Building Cost Ris</v>
      </c>
    </row>
    <row r="894" spans="1:11" s="375" customFormat="1" ht="14.25" customHeight="1" x14ac:dyDescent="0.2">
      <c r="A894" s="364">
        <v>38070</v>
      </c>
      <c r="B894" s="368"/>
      <c r="C894" s="363">
        <f>HLOOKUP("start",ESLData!E$1:E$9955,MATCH($A894,ESLData!$B$1:$B$9955,0))</f>
        <v>0</v>
      </c>
      <c r="D894" s="368"/>
      <c r="E894" s="363">
        <f>HLOOKUP("start",ESLData!F$1:F$9955,MATCH($A894,ESLData!$B$1:$B$9955,0))</f>
        <v>0</v>
      </c>
      <c r="F894" s="368"/>
      <c r="G894" s="363">
        <f>HLOOKUP("start",ESLData!H$1:H$9955,MATCH($A894,ESLData!$B$1:$B$9955,0))</f>
        <v>0</v>
      </c>
      <c r="H894" s="368"/>
      <c r="K894" s="368" t="str">
        <f>IF(ISNA(HLOOKUP("start",ESLData!C$1:C$9955,MATCH($A894,ESLData!$B$1:$B$9955,0))),"",HLOOKUP("start",ESLData!C$1:C$9955,MATCH($A894,ESLData!$B$1:$B$9955,0)))</f>
        <v>Psychologist Contract</v>
      </c>
    </row>
    <row r="895" spans="1:11" s="375" customFormat="1" ht="14.25" customHeight="1" x14ac:dyDescent="0.2">
      <c r="A895" s="364">
        <v>38820</v>
      </c>
      <c r="B895" s="368"/>
      <c r="C895" s="363">
        <f>HLOOKUP("start",ESLData!E$1:E$9955,MATCH($A895,ESLData!$B$1:$B$9955,0))</f>
        <v>0</v>
      </c>
      <c r="D895" s="369"/>
      <c r="E895" s="363">
        <f>HLOOKUP("start",ESLData!F$1:F$9955,MATCH($A895,ESLData!$B$1:$B$9955,0))</f>
        <v>0</v>
      </c>
      <c r="F895" s="369"/>
      <c r="G895" s="363">
        <f>HLOOKUP("start",ESLData!H$1:H$9955,MATCH($A895,ESLData!$B$1:$B$9955,0))</f>
        <v>0</v>
      </c>
      <c r="H895" s="369"/>
      <c r="K895" s="368" t="str">
        <f>IF(ISNA(HLOOKUP("start",ESLData!C$1:C$9955,MATCH($A895,ESLData!$B$1:$B$9955,0))),"",HLOOKUP("start",ESLData!C$1:C$9955,MATCH($A895,ESLData!$B$1:$B$9955,0)))</f>
        <v>Laundry</v>
      </c>
    </row>
    <row r="896" spans="1:11" s="375" customFormat="1" ht="14.25" customHeight="1" x14ac:dyDescent="0.2">
      <c r="A896" s="364">
        <v>38307</v>
      </c>
      <c r="B896" s="368"/>
      <c r="C896" s="363">
        <f>HLOOKUP("start",ESLData!E$1:E$9955,MATCH($A896,ESLData!$B$1:$B$9955,0))</f>
        <v>0</v>
      </c>
      <c r="D896" s="368"/>
      <c r="E896" s="363">
        <f>HLOOKUP("start",ESLData!F$1:F$9955,MATCH($A896,ESLData!$B$1:$B$9955,0))</f>
        <v>0</v>
      </c>
      <c r="F896" s="368"/>
      <c r="G896" s="363">
        <f>HLOOKUP("start",ESLData!H$1:H$9955,MATCH($A896,ESLData!$B$1:$B$9955,0))</f>
        <v>0</v>
      </c>
      <c r="H896" s="368"/>
      <c r="K896" s="368" t="str">
        <f>IF(ISNA(HLOOKUP("start",ESLData!C$1:C$9955,MATCH($A896,ESLData!$B$1:$B$9955,0))),"",HLOOKUP("start",ESLData!C$1:C$9955,MATCH($A896,ESLData!$B$1:$B$9955,0)))</f>
        <v>Admin New Building Costs</v>
      </c>
    </row>
    <row r="897" spans="1:11" s="375" customFormat="1" ht="14.25" customHeight="1" x14ac:dyDescent="0.2">
      <c r="A897" s="364">
        <v>38953</v>
      </c>
      <c r="B897" s="368"/>
      <c r="C897" s="363">
        <f>HLOOKUP("start",ESLData!E$1:E$9955,MATCH($A897,ESLData!$B$1:$B$9955,0))</f>
        <v>0</v>
      </c>
      <c r="D897" s="368"/>
      <c r="E897" s="363">
        <f>HLOOKUP("start",ESLData!F$1:F$9955,MATCH($A897,ESLData!$B$1:$B$9955,0))</f>
        <v>0</v>
      </c>
      <c r="F897" s="368"/>
      <c r="G897" s="363">
        <f>HLOOKUP("start",ESLData!H$1:H$9955,MATCH($A897,ESLData!$B$1:$B$9955,0))</f>
        <v>0</v>
      </c>
      <c r="H897" s="368"/>
      <c r="K897" s="368" t="str">
        <f>IF(ISNA(HLOOKUP("start",ESLData!C$1:C$9955,MATCH($A897,ESLData!$B$1:$B$9955,0))),"",HLOOKUP("start",ESLData!C$1:C$9955,MATCH($A897,ESLData!$B$1:$B$9955,0)))</f>
        <v>Child&amp;Family (Additional Cours</v>
      </c>
    </row>
    <row r="898" spans="1:11" s="375" customFormat="1" ht="14.25" customHeight="1" x14ac:dyDescent="0.2">
      <c r="A898" s="364">
        <v>38955</v>
      </c>
      <c r="B898" s="368"/>
      <c r="C898" s="363">
        <f>HLOOKUP("start",ESLData!E$1:E$9955,MATCH($A898,ESLData!$B$1:$B$9955,0))</f>
        <v>0</v>
      </c>
      <c r="D898" s="368"/>
      <c r="E898" s="363">
        <f>HLOOKUP("start",ESLData!F$1:F$9955,MATCH($A898,ESLData!$B$1:$B$9955,0))</f>
        <v>0</v>
      </c>
      <c r="F898" s="368"/>
      <c r="G898" s="363">
        <f>HLOOKUP("start",ESLData!H$1:H$9955,MATCH($A898,ESLData!$B$1:$B$9955,0))</f>
        <v>0</v>
      </c>
      <c r="H898" s="368"/>
      <c r="K898" s="368" t="str">
        <f>IF(ISNA(HLOOKUP("start",ESLData!C$1:C$9955,MATCH($A898,ESLData!$B$1:$B$9955,0))),"",HLOOKUP("start",ESLData!C$1:C$9955,MATCH($A898,ESLData!$B$1:$B$9955,0)))</f>
        <v>Senior Musicianship</v>
      </c>
    </row>
    <row r="899" spans="1:11" s="375" customFormat="1" ht="14.25" customHeight="1" x14ac:dyDescent="0.2">
      <c r="A899" s="364">
        <v>38968</v>
      </c>
      <c r="B899" s="368"/>
      <c r="C899" s="363">
        <f>HLOOKUP("start",ESLData!E$1:E$9955,MATCH($A899,ESLData!$B$1:$B$9955,0))</f>
        <v>0</v>
      </c>
      <c r="D899" s="368"/>
      <c r="E899" s="363">
        <f>HLOOKUP("start",ESLData!F$1:F$9955,MATCH($A899,ESLData!$B$1:$B$9955,0))</f>
        <v>0</v>
      </c>
      <c r="F899" s="368"/>
      <c r="G899" s="363">
        <f>HLOOKUP("start",ESLData!H$1:H$9955,MATCH($A899,ESLData!$B$1:$B$9955,0))</f>
        <v>0</v>
      </c>
      <c r="H899" s="368"/>
      <c r="K899" s="368" t="str">
        <f>IF(ISNA(HLOOKUP("start",ESLData!C$1:C$9955,MATCH($A899,ESLData!$B$1:$B$9955,0))),"",HLOOKUP("start",ESLData!C$1:C$9955,MATCH($A899,ESLData!$B$1:$B$9955,0)))</f>
        <v>Braillenote Connections</v>
      </c>
    </row>
    <row r="900" spans="1:11" s="375" customFormat="1" ht="14.25" customHeight="1" x14ac:dyDescent="0.2">
      <c r="A900" s="364">
        <v>38810</v>
      </c>
      <c r="B900" s="368"/>
      <c r="C900" s="363">
        <f>HLOOKUP("start",ESLData!E$1:E$9955,MATCH($A900,ESLData!$B$1:$B$9955,0))</f>
        <v>0</v>
      </c>
      <c r="D900" s="368"/>
      <c r="E900" s="363">
        <f>HLOOKUP("start",ESLData!F$1:F$9955,MATCH($A900,ESLData!$B$1:$B$9955,0))</f>
        <v>0</v>
      </c>
      <c r="F900" s="368"/>
      <c r="G900" s="363">
        <f>HLOOKUP("start",ESLData!H$1:H$9955,MATCH($A900,ESLData!$B$1:$B$9955,0))</f>
        <v>0</v>
      </c>
      <c r="H900" s="368"/>
      <c r="K900" s="368" t="str">
        <f>IF(ISNA(HLOOKUP("start",ESLData!C$1:C$9955,MATCH($A900,ESLData!$B$1:$B$9955,0))),"",HLOOKUP("start",ESLData!C$1:C$9955,MATCH($A900,ESLData!$B$1:$B$9955,0)))</f>
        <v>Contracted Staff (Early Child)</v>
      </c>
    </row>
    <row r="901" spans="1:11" s="375" customFormat="1" ht="14.25" customHeight="1" x14ac:dyDescent="0.2">
      <c r="A901" s="364">
        <v>38972</v>
      </c>
      <c r="B901" s="368"/>
      <c r="C901" s="363">
        <f>HLOOKUP("start",ESLData!E$1:E$9955,MATCH($A901,ESLData!$B$1:$B$9955,0))</f>
        <v>0</v>
      </c>
      <c r="D901" s="368"/>
      <c r="E901" s="363">
        <f>HLOOKUP("start",ESLData!F$1:F$9955,MATCH($A901,ESLData!$B$1:$B$9955,0))</f>
        <v>0</v>
      </c>
      <c r="F901" s="368"/>
      <c r="G901" s="363">
        <f>HLOOKUP("start",ESLData!H$1:H$9955,MATCH($A901,ESLData!$B$1:$B$9955,0))</f>
        <v>0</v>
      </c>
      <c r="H901" s="368"/>
      <c r="K901" s="368" t="str">
        <f>IF(ISNA(HLOOKUP("start",ESLData!C$1:C$9955,MATCH($A901,ESLData!$B$1:$B$9955,0))),"",HLOOKUP("start",ESLData!C$1:C$9955,MATCH($A901,ESLData!$B$1:$B$9955,0)))</f>
        <v>Braillenote Basics</v>
      </c>
    </row>
    <row r="902" spans="1:11" s="375" customFormat="1" ht="14.25" customHeight="1" x14ac:dyDescent="0.2">
      <c r="A902" s="364">
        <v>38988</v>
      </c>
      <c r="B902" s="368"/>
      <c r="C902" s="363">
        <f>HLOOKUP("start",ESLData!E$1:E$9955,MATCH($A902,ESLData!$B$1:$B$9955,0))</f>
        <v>0</v>
      </c>
      <c r="D902" s="368"/>
      <c r="E902" s="363">
        <f>HLOOKUP("start",ESLData!F$1:F$9955,MATCH($A902,ESLData!$B$1:$B$9955,0))</f>
        <v>0</v>
      </c>
      <c r="F902" s="368"/>
      <c r="G902" s="363">
        <f>HLOOKUP("start",ESLData!H$1:H$9955,MATCH($A902,ESLData!$B$1:$B$9955,0))</f>
        <v>0</v>
      </c>
      <c r="H902" s="368"/>
      <c r="K902" s="368" t="str">
        <f>IF(ISNA(HLOOKUP("start",ESLData!C$1:C$9955,MATCH($A902,ESLData!$B$1:$B$9955,0))),"",HLOOKUP("start",ESLData!C$1:C$9955,MATCH($A902,ESLData!$B$1:$B$9955,0)))</f>
        <v>Maths/Life Skills</v>
      </c>
    </row>
    <row r="903" spans="1:11" s="375" customFormat="1" ht="14.25" customHeight="1" x14ac:dyDescent="0.2">
      <c r="A903" s="364">
        <v>33220</v>
      </c>
      <c r="B903" s="368"/>
      <c r="C903" s="363">
        <f>HLOOKUP("start",ESLData!E$1:E$9955,MATCH($A903,ESLData!$B$1:$B$9955,0))</f>
        <v>0</v>
      </c>
      <c r="D903" s="368"/>
      <c r="E903" s="363">
        <f>HLOOKUP("start",ESLData!F$1:F$9955,MATCH($A903,ESLData!$B$1:$B$9955,0))</f>
        <v>0</v>
      </c>
      <c r="F903" s="368"/>
      <c r="G903" s="363">
        <f>HLOOKUP("start",ESLData!H$1:H$9955,MATCH($A903,ESLData!$B$1:$B$9955,0))</f>
        <v>0</v>
      </c>
      <c r="H903" s="368"/>
      <c r="K903" s="368" t="str">
        <f>IF(ISNA(HLOOKUP("start",ESLData!C$1:C$9955,MATCH($A903,ESLData!$B$1:$B$9955,0))),"",HLOOKUP("start",ESLData!C$1:C$9955,MATCH($A903,ESLData!$B$1:$B$9955,0)))</f>
        <v>Photocopying</v>
      </c>
    </row>
    <row r="904" spans="1:11" s="375" customFormat="1" ht="14.25" customHeight="1" x14ac:dyDescent="0.2">
      <c r="A904" s="364">
        <v>33555</v>
      </c>
      <c r="B904" s="368"/>
      <c r="C904" s="363">
        <f>HLOOKUP("start",ESLData!E$1:E$9955,MATCH($A904,ESLData!$B$1:$B$9955,0))</f>
        <v>0</v>
      </c>
      <c r="D904" s="368"/>
      <c r="E904" s="363">
        <f>HLOOKUP("start",ESLData!F$1:F$9955,MATCH($A904,ESLData!$B$1:$B$9955,0))</f>
        <v>0</v>
      </c>
      <c r="F904" s="368"/>
      <c r="G904" s="363">
        <f>HLOOKUP("start",ESLData!H$1:H$9955,MATCH($A904,ESLData!$B$1:$B$9955,0))</f>
        <v>0</v>
      </c>
      <c r="H904" s="368"/>
      <c r="K904" s="368" t="str">
        <f>IF(ISNA(HLOOKUP("start",ESLData!C$1:C$9955,MATCH($A904,ESLData!$B$1:$B$9955,0))),"",HLOOKUP("start",ESLData!C$1:C$9955,MATCH($A904,ESLData!$B$1:$B$9955,0)))</f>
        <v>Photocopying</v>
      </c>
    </row>
    <row r="905" spans="1:11" s="375" customFormat="1" ht="14.25" customHeight="1" x14ac:dyDescent="0.2">
      <c r="A905" s="364">
        <v>33475</v>
      </c>
      <c r="B905" s="368"/>
      <c r="C905" s="363">
        <f>HLOOKUP("start",ESLData!E$1:E$9955,MATCH($A905,ESLData!$B$1:$B$9955,0))</f>
        <v>0</v>
      </c>
      <c r="D905" s="368"/>
      <c r="E905" s="363">
        <f>HLOOKUP("start",ESLData!F$1:F$9955,MATCH($A905,ESLData!$B$1:$B$9955,0))</f>
        <v>0</v>
      </c>
      <c r="F905" s="368"/>
      <c r="G905" s="363">
        <f>HLOOKUP("start",ESLData!H$1:H$9955,MATCH($A905,ESLData!$B$1:$B$9955,0))</f>
        <v>0</v>
      </c>
      <c r="H905" s="368"/>
      <c r="K905" s="368" t="str">
        <f>IF(ISNA(HLOOKUP("start",ESLData!C$1:C$9955,MATCH($A905,ESLData!$B$1:$B$9955,0))),"",HLOOKUP("start",ESLData!C$1:C$9955,MATCH($A905,ESLData!$B$1:$B$9955,0)))</f>
        <v>Horticultural Therapist</v>
      </c>
    </row>
    <row r="906" spans="1:11" s="375" customFormat="1" ht="14.25" customHeight="1" x14ac:dyDescent="0.2">
      <c r="A906" s="364">
        <v>33530</v>
      </c>
      <c r="B906" s="368"/>
      <c r="C906" s="363">
        <f>HLOOKUP("start",ESLData!E$1:E$9955,MATCH($A906,ESLData!$B$1:$B$9955,0))</f>
        <v>0</v>
      </c>
      <c r="D906" s="368"/>
      <c r="E906" s="363">
        <f>HLOOKUP("start",ESLData!F$1:F$9955,MATCH($A906,ESLData!$B$1:$B$9955,0))</f>
        <v>0</v>
      </c>
      <c r="F906" s="368"/>
      <c r="G906" s="363">
        <f>HLOOKUP("start",ESLData!H$1:H$9955,MATCH($A906,ESLData!$B$1:$B$9955,0))</f>
        <v>0</v>
      </c>
      <c r="H906" s="368"/>
      <c r="K906" s="368" t="str">
        <f>IF(ISNA(HLOOKUP("start",ESLData!C$1:C$9955,MATCH($A906,ESLData!$B$1:$B$9955,0))),"",HLOOKUP("start",ESLData!C$1:C$9955,MATCH($A906,ESLData!$B$1:$B$9955,0)))</f>
        <v>Alternative Therapy</v>
      </c>
    </row>
    <row r="907" spans="1:11" s="375" customFormat="1" ht="14.25" customHeight="1" x14ac:dyDescent="0.2">
      <c r="A907" s="364">
        <v>33515</v>
      </c>
      <c r="B907" s="368"/>
      <c r="C907" s="363">
        <f>HLOOKUP("start",ESLData!E$1:E$9955,MATCH($A907,ESLData!$B$1:$B$9955,0))</f>
        <v>0</v>
      </c>
      <c r="D907" s="368"/>
      <c r="E907" s="363">
        <f>HLOOKUP("start",ESLData!F$1:F$9955,MATCH($A907,ESLData!$B$1:$B$9955,0))</f>
        <v>0</v>
      </c>
      <c r="F907" s="368"/>
      <c r="G907" s="363">
        <f>HLOOKUP("start",ESLData!H$1:H$9955,MATCH($A907,ESLData!$B$1:$B$9955,0))</f>
        <v>0</v>
      </c>
      <c r="H907" s="368"/>
      <c r="K907" s="368" t="str">
        <f>IF(ISNA(HLOOKUP("start",ESLData!C$1:C$9955,MATCH($A907,ESLData!$B$1:$B$9955,0))),"",HLOOKUP("start",ESLData!C$1:C$9955,MATCH($A907,ESLData!$B$1:$B$9955,0)))</f>
        <v>Teacher Aide Time</v>
      </c>
    </row>
    <row r="908" spans="1:11" s="375" customFormat="1" ht="14.25" customHeight="1" x14ac:dyDescent="0.2">
      <c r="A908" s="364">
        <v>33495</v>
      </c>
      <c r="B908" s="368"/>
      <c r="C908" s="363">
        <f>HLOOKUP("start",ESLData!E$1:E$9955,MATCH($A908,ESLData!$B$1:$B$9955,0))</f>
        <v>0</v>
      </c>
      <c r="D908" s="368"/>
      <c r="E908" s="363">
        <f>HLOOKUP("start",ESLData!F$1:F$9955,MATCH($A908,ESLData!$B$1:$B$9955,0))</f>
        <v>0</v>
      </c>
      <c r="F908" s="368"/>
      <c r="G908" s="363">
        <f>HLOOKUP("start",ESLData!H$1:H$9955,MATCH($A908,ESLData!$B$1:$B$9955,0))</f>
        <v>0</v>
      </c>
      <c r="H908" s="368"/>
      <c r="K908" s="368" t="str">
        <f>IF(ISNA(HLOOKUP("start",ESLData!C$1:C$9955,MATCH($A908,ESLData!$B$1:$B$9955,0))),"",HLOOKUP("start",ESLData!C$1:C$9955,MATCH($A908,ESLData!$B$1:$B$9955,0)))</f>
        <v>Music Therapy</v>
      </c>
    </row>
    <row r="909" spans="1:11" s="375" customFormat="1" ht="14.25" customHeight="1" x14ac:dyDescent="0.2">
      <c r="A909" s="364">
        <v>33310</v>
      </c>
      <c r="B909" s="368"/>
      <c r="C909" s="363">
        <f>HLOOKUP("start",ESLData!E$1:E$9955,MATCH($A909,ESLData!$B$1:$B$9955,0))</f>
        <v>0</v>
      </c>
      <c r="D909" s="368"/>
      <c r="E909" s="363">
        <f>HLOOKUP("start",ESLData!F$1:F$9955,MATCH($A909,ESLData!$B$1:$B$9955,0))</f>
        <v>0</v>
      </c>
      <c r="F909" s="368"/>
      <c r="G909" s="363">
        <f>HLOOKUP("start",ESLData!H$1:H$9955,MATCH($A909,ESLData!$B$1:$B$9955,0))</f>
        <v>0</v>
      </c>
      <c r="H909" s="368"/>
      <c r="K909" s="368" t="str">
        <f>IF(ISNA(HLOOKUP("start",ESLData!C$1:C$9955,MATCH($A909,ESLData!$B$1:$B$9955,0))),"",HLOOKUP("start",ESLData!C$1:C$9955,MATCH($A909,ESLData!$B$1:$B$9955,0)))</f>
        <v>Adviser to the Deaf</v>
      </c>
    </row>
    <row r="910" spans="1:11" s="375" customFormat="1" ht="14.25" customHeight="1" x14ac:dyDescent="0.2">
      <c r="A910" s="364">
        <v>33502</v>
      </c>
      <c r="B910" s="368"/>
      <c r="C910" s="363">
        <f>HLOOKUP("start",ESLData!E$1:E$9955,MATCH($A910,ESLData!$B$1:$B$9955,0))</f>
        <v>0</v>
      </c>
      <c r="D910" s="368"/>
      <c r="E910" s="363">
        <f>HLOOKUP("start",ESLData!F$1:F$9955,MATCH($A910,ESLData!$B$1:$B$9955,0))</f>
        <v>0</v>
      </c>
      <c r="F910" s="368"/>
      <c r="G910" s="363">
        <f>HLOOKUP("start",ESLData!H$1:H$9955,MATCH($A910,ESLData!$B$1:$B$9955,0))</f>
        <v>0</v>
      </c>
      <c r="H910" s="368"/>
      <c r="K910" s="368" t="str">
        <f>IF(ISNA(HLOOKUP("start",ESLData!C$1:C$9955,MATCH($A910,ESLData!$B$1:$B$9955,0))),"",HLOOKUP("start",ESLData!C$1:C$9955,MATCH($A910,ESLData!$B$1:$B$9955,0)))</f>
        <v>Slt, Ot &amp; Physiotherapy</v>
      </c>
    </row>
    <row r="911" spans="1:11" s="375" customFormat="1" ht="14.25" customHeight="1" x14ac:dyDescent="0.2">
      <c r="A911" s="364">
        <v>33510</v>
      </c>
      <c r="B911" s="368"/>
      <c r="C911" s="363">
        <f>HLOOKUP("start",ESLData!E$1:E$9955,MATCH($A911,ESLData!$B$1:$B$9955,0))</f>
        <v>0</v>
      </c>
      <c r="D911" s="368"/>
      <c r="E911" s="363">
        <f>HLOOKUP("start",ESLData!F$1:F$9955,MATCH($A911,ESLData!$B$1:$B$9955,0))</f>
        <v>0</v>
      </c>
      <c r="F911" s="368"/>
      <c r="G911" s="363">
        <f>HLOOKUP("start",ESLData!H$1:H$9955,MATCH($A911,ESLData!$B$1:$B$9955,0))</f>
        <v>0</v>
      </c>
      <c r="H911" s="368"/>
      <c r="K911" s="368" t="str">
        <f>IF(ISNA(HLOOKUP("start",ESLData!C$1:C$9955,MATCH($A911,ESLData!$B$1:$B$9955,0))),"",HLOOKUP("start",ESLData!C$1:C$9955,MATCH($A911,ESLData!$B$1:$B$9955,0)))</f>
        <v>Orientation &amp; Mob-Kickstart</v>
      </c>
    </row>
    <row r="912" spans="1:11" s="375" customFormat="1" ht="14.25" customHeight="1" x14ac:dyDescent="0.2">
      <c r="A912" s="364">
        <v>30120</v>
      </c>
      <c r="B912" s="368"/>
      <c r="C912" s="363">
        <f>HLOOKUP("start",ESLData!E$1:E$9955,MATCH($A912,ESLData!$B$1:$B$9955,0))</f>
        <v>0</v>
      </c>
      <c r="D912" s="368"/>
      <c r="E912" s="363">
        <f>HLOOKUP("start",ESLData!F$1:F$9955,MATCH($A912,ESLData!$B$1:$B$9955,0))</f>
        <v>0</v>
      </c>
      <c r="F912" s="368"/>
      <c r="G912" s="363">
        <f>HLOOKUP("start",ESLData!H$1:H$9955,MATCH($A912,ESLData!$B$1:$B$9955,0))</f>
        <v>0</v>
      </c>
      <c r="H912" s="368"/>
      <c r="K912" s="368" t="str">
        <f>IF(ISNA(HLOOKUP("start",ESLData!C$1:C$9955,MATCH($A912,ESLData!$B$1:$B$9955,0))),"",HLOOKUP("start",ESLData!C$1:C$9955,MATCH($A912,ESLData!$B$1:$B$9955,0)))</f>
        <v>R&amp;M - Computer Equipment</v>
      </c>
    </row>
    <row r="913" spans="1:11" s="375" customFormat="1" ht="14.25" customHeight="1" x14ac:dyDescent="0.2">
      <c r="A913" s="364">
        <v>37260</v>
      </c>
      <c r="B913" s="368"/>
      <c r="C913" s="363">
        <f>HLOOKUP("start",ESLData!E$1:E$9955,MATCH($A913,ESLData!$B$1:$B$9955,0))</f>
        <v>0</v>
      </c>
      <c r="D913" s="368"/>
      <c r="E913" s="363">
        <f>HLOOKUP("start",ESLData!F$1:F$9955,MATCH($A913,ESLData!$B$1:$B$9955,0))</f>
        <v>0</v>
      </c>
      <c r="F913" s="368"/>
      <c r="G913" s="363">
        <f>HLOOKUP("start",ESLData!H$1:H$9955,MATCH($A913,ESLData!$B$1:$B$9955,0))</f>
        <v>0</v>
      </c>
      <c r="H913" s="368"/>
      <c r="K913" s="368" t="str">
        <f>IF(ISNA(HLOOKUP("start",ESLData!C$1:C$9955,MATCH($A913,ESLData!$B$1:$B$9955,0))),"",HLOOKUP("start",ESLData!C$1:C$9955,MATCH($A913,ESLData!$B$1:$B$9955,0)))</f>
        <v>Braille Contract</v>
      </c>
    </row>
    <row r="914" spans="1:11" s="375" customFormat="1" ht="14.25" customHeight="1" x14ac:dyDescent="0.2">
      <c r="A914" s="364">
        <v>34000</v>
      </c>
      <c r="B914" s="368"/>
      <c r="C914" s="363">
        <f>HLOOKUP("start",ESLData!E$1:E$9955,MATCH($A914,ESLData!$B$1:$B$9955,0))</f>
        <v>0</v>
      </c>
      <c r="D914" s="369"/>
      <c r="E914" s="363">
        <f>HLOOKUP("start",ESLData!F$1:F$9955,MATCH($A914,ESLData!$B$1:$B$9955,0))</f>
        <v>0</v>
      </c>
      <c r="F914" s="369"/>
      <c r="G914" s="363">
        <f>HLOOKUP("start",ESLData!H$1:H$9955,MATCH($A914,ESLData!$B$1:$B$9955,0))</f>
        <v>0</v>
      </c>
      <c r="H914" s="369"/>
      <c r="K914" s="368" t="str">
        <f>IF(ISNA(HLOOKUP("start",ESLData!C$1:C$9955,MATCH($A914,ESLData!$B$1:$B$9955,0))),"",HLOOKUP("start",ESLData!C$1:C$9955,MATCH($A914,ESLData!$B$1:$B$9955,0)))</f>
        <v>Courier</v>
      </c>
    </row>
    <row r="915" spans="1:11" s="375" customFormat="1" ht="14.25" customHeight="1" x14ac:dyDescent="0.2">
      <c r="A915" s="364">
        <v>34600</v>
      </c>
      <c r="B915" s="368"/>
      <c r="C915" s="363">
        <f>HLOOKUP("start",ESLData!E$1:E$9955,MATCH($A915,ESLData!$B$1:$B$9955,0))</f>
        <v>0</v>
      </c>
      <c r="D915" s="368"/>
      <c r="E915" s="363">
        <f>HLOOKUP("start",ESLData!F$1:F$9955,MATCH($A915,ESLData!$B$1:$B$9955,0))</f>
        <v>0</v>
      </c>
      <c r="F915" s="368"/>
      <c r="G915" s="363">
        <f>HLOOKUP("start",ESLData!H$1:H$9955,MATCH($A915,ESLData!$B$1:$B$9955,0))</f>
        <v>0</v>
      </c>
      <c r="H915" s="368"/>
      <c r="K915" s="368" t="str">
        <f>IF(ISNA(HLOOKUP("start",ESLData!C$1:C$9955,MATCH($A915,ESLData!$B$1:$B$9955,0))),"",HLOOKUP("start",ESLData!C$1:C$9955,MATCH($A915,ESLData!$B$1:$B$9955,0)))</f>
        <v>South Auckland Project Trust</v>
      </c>
    </row>
    <row r="916" spans="1:11" s="375" customFormat="1" ht="14.25" customHeight="1" x14ac:dyDescent="0.2">
      <c r="A916" s="364">
        <v>34610</v>
      </c>
      <c r="B916" s="368"/>
      <c r="C916" s="363">
        <f>HLOOKUP("start",ESLData!E$1:E$9955,MATCH($A916,ESLData!$B$1:$B$9955,0))</f>
        <v>0</v>
      </c>
      <c r="D916" s="368"/>
      <c r="E916" s="363">
        <f>HLOOKUP("start",ESLData!F$1:F$9955,MATCH($A916,ESLData!$B$1:$B$9955,0))</f>
        <v>0</v>
      </c>
      <c r="F916" s="368"/>
      <c r="G916" s="363">
        <f>HLOOKUP("start",ESLData!H$1:H$9955,MATCH($A916,ESLData!$B$1:$B$9955,0))</f>
        <v>0</v>
      </c>
      <c r="H916" s="368"/>
      <c r="K916" s="368" t="str">
        <f>IF(ISNA(HLOOKUP("start",ESLData!C$1:C$9955,MATCH($A916,ESLData!$B$1:$B$9955,0))),"",HLOOKUP("start",ESLData!C$1:C$9955,MATCH($A916,ESLData!$B$1:$B$9955,0)))</f>
        <v>South Auck Project Trust Exp</v>
      </c>
    </row>
    <row r="917" spans="1:11" s="375" customFormat="1" ht="14.25" customHeight="1" x14ac:dyDescent="0.2">
      <c r="A917" s="364">
        <v>34455</v>
      </c>
      <c r="B917" s="368"/>
      <c r="C917" s="363">
        <f>HLOOKUP("start",ESLData!E$1:E$9955,MATCH($A917,ESLData!$B$1:$B$9955,0))</f>
        <v>0</v>
      </c>
      <c r="D917" s="368"/>
      <c r="E917" s="363">
        <f>HLOOKUP("start",ESLData!F$1:F$9955,MATCH($A917,ESLData!$B$1:$B$9955,0))</f>
        <v>0</v>
      </c>
      <c r="F917" s="368"/>
      <c r="G917" s="363">
        <f>HLOOKUP("start",ESLData!H$1:H$9955,MATCH($A917,ESLData!$B$1:$B$9955,0))</f>
        <v>0</v>
      </c>
      <c r="H917" s="368"/>
      <c r="K917" s="368" t="str">
        <f>IF(ISNA(HLOOKUP("start",ESLData!C$1:C$9955,MATCH($A917,ESLData!$B$1:$B$9955,0))),"",HLOOKUP("start",ESLData!C$1:C$9955,MATCH($A917,ESLData!$B$1:$B$9955,0)))</f>
        <v>Projects - Vea</v>
      </c>
    </row>
    <row r="918" spans="1:11" s="375" customFormat="1" ht="14.25" customHeight="1" x14ac:dyDescent="0.2">
      <c r="A918" s="364">
        <v>34500</v>
      </c>
      <c r="B918" s="368"/>
      <c r="C918" s="363">
        <f>HLOOKUP("start",ESLData!E$1:E$9955,MATCH($A918,ESLData!$B$1:$B$9955,0))</f>
        <v>0</v>
      </c>
      <c r="D918" s="369"/>
      <c r="E918" s="363">
        <f>HLOOKUP("start",ESLData!F$1:F$9955,MATCH($A918,ESLData!$B$1:$B$9955,0))</f>
        <v>0</v>
      </c>
      <c r="F918" s="369"/>
      <c r="G918" s="363">
        <f>HLOOKUP("start",ESLData!H$1:H$9955,MATCH($A918,ESLData!$B$1:$B$9955,0))</f>
        <v>0</v>
      </c>
      <c r="H918" s="369"/>
      <c r="K918" s="368" t="str">
        <f>IF(ISNA(HLOOKUP("start",ESLData!C$1:C$9955,MATCH($A918,ESLData!$B$1:$B$9955,0))),"",HLOOKUP("start",ESLData!C$1:C$9955,MATCH($A918,ESLData!$B$1:$B$9955,0)))</f>
        <v>Kapo Maori Research Project</v>
      </c>
    </row>
    <row r="919" spans="1:11" s="375" customFormat="1" ht="14.25" customHeight="1" x14ac:dyDescent="0.2">
      <c r="A919" s="364">
        <v>37030</v>
      </c>
      <c r="B919" s="368"/>
      <c r="C919" s="363">
        <f>HLOOKUP("start",ESLData!E$1:E$9955,MATCH($A919,ESLData!$B$1:$B$9955,0))</f>
        <v>0</v>
      </c>
      <c r="D919" s="369"/>
      <c r="E919" s="363">
        <f>HLOOKUP("start",ESLData!F$1:F$9955,MATCH($A919,ESLData!$B$1:$B$9955,0))</f>
        <v>0</v>
      </c>
      <c r="F919" s="369"/>
      <c r="G919" s="363">
        <f>HLOOKUP("start",ESLData!H$1:H$9955,MATCH($A919,ESLData!$B$1:$B$9955,0))</f>
        <v>0</v>
      </c>
      <c r="H919" s="369"/>
      <c r="K919" s="368" t="str">
        <f>IF(ISNA(HLOOKUP("start",ESLData!C$1:C$9955,MATCH($A919,ESLData!$B$1:$B$9955,0))),"",HLOOKUP("start",ESLData!C$1:C$9955,MATCH($A919,ESLData!$B$1:$B$9955,0)))</f>
        <v>Vehicle Maintenance</v>
      </c>
    </row>
    <row r="920" spans="1:11" s="375" customFormat="1" ht="14.25" customHeight="1" x14ac:dyDescent="0.2">
      <c r="A920" s="365">
        <v>37330</v>
      </c>
      <c r="B920" s="368"/>
      <c r="C920" s="363">
        <f>HLOOKUP("start",ESLData!E$1:E$9955,MATCH($A920,ESLData!$B$1:$B$9955,0))</f>
        <v>0</v>
      </c>
      <c r="D920" s="368"/>
      <c r="E920" s="363">
        <f>HLOOKUP("start",ESLData!F$1:F$9955,MATCH($A920,ESLData!$B$1:$B$9955,0))</f>
        <v>0</v>
      </c>
      <c r="F920" s="368"/>
      <c r="G920" s="363">
        <f>HLOOKUP("start",ESLData!H$1:H$9955,MATCH($A920,ESLData!$B$1:$B$9955,0))</f>
        <v>0</v>
      </c>
      <c r="H920" s="368"/>
      <c r="K920" s="368" t="str">
        <f>IF(ISNA(HLOOKUP("start",ESLData!C$1:C$9955,MATCH($A920,ESLData!$B$1:$B$9955,0))),"",HLOOKUP("start",ESLData!C$1:C$9955,MATCH($A920,ESLData!$B$1:$B$9955,0)))</f>
        <v>Recruitment/Advertising</v>
      </c>
    </row>
    <row r="921" spans="1:11" s="375" customFormat="1" ht="14.25" customHeight="1" x14ac:dyDescent="0.2">
      <c r="A921" s="364">
        <v>37965</v>
      </c>
      <c r="B921" s="368"/>
      <c r="C921" s="363">
        <f>HLOOKUP("start",ESLData!E$1:E$9955,MATCH($A921,ESLData!$B$1:$B$9955,0))</f>
        <v>0</v>
      </c>
      <c r="D921" s="369"/>
      <c r="E921" s="363">
        <f>HLOOKUP("start",ESLData!F$1:F$9955,MATCH($A921,ESLData!$B$1:$B$9955,0))</f>
        <v>0</v>
      </c>
      <c r="F921" s="369"/>
      <c r="G921" s="363">
        <f>HLOOKUP("start",ESLData!H$1:H$9955,MATCH($A921,ESLData!$B$1:$B$9955,0))</f>
        <v>0</v>
      </c>
      <c r="H921" s="369"/>
      <c r="K921" s="368" t="str">
        <f>IF(ISNA(HLOOKUP("start",ESLData!C$1:C$9955,MATCH($A921,ESLData!$B$1:$B$9955,0))),"",HLOOKUP("start",ESLData!C$1:C$9955,MATCH($A921,ESLData!$B$1:$B$9955,0)))</f>
        <v>Stores</v>
      </c>
    </row>
    <row r="922" spans="1:11" s="375" customFormat="1" ht="14.25" customHeight="1" x14ac:dyDescent="0.2">
      <c r="A922" s="364">
        <v>38520</v>
      </c>
      <c r="B922" s="368"/>
      <c r="C922" s="363">
        <f>HLOOKUP("start",ESLData!E$1:E$9955,MATCH($A922,ESLData!$B$1:$B$9955,0))</f>
        <v>0</v>
      </c>
      <c r="D922" s="369"/>
      <c r="E922" s="363">
        <f>HLOOKUP("start",ESLData!F$1:F$9955,MATCH($A922,ESLData!$B$1:$B$9955,0))</f>
        <v>0</v>
      </c>
      <c r="F922" s="369"/>
      <c r="G922" s="363">
        <f>HLOOKUP("start",ESLData!H$1:H$9955,MATCH($A922,ESLData!$B$1:$B$9955,0))</f>
        <v>0</v>
      </c>
      <c r="H922" s="369"/>
      <c r="K922" s="368" t="str">
        <f>IF(ISNA(HLOOKUP("start",ESLData!C$1:C$9955,MATCH($A922,ESLData!$B$1:$B$9955,0))),"",HLOOKUP("start",ESLData!C$1:C$9955,MATCH($A922,ESLData!$B$1:$B$9955,0)))</f>
        <v>Acc Levies</v>
      </c>
    </row>
    <row r="923" spans="1:11" s="368" customFormat="1" ht="14.25" customHeight="1" x14ac:dyDescent="0.2">
      <c r="A923" s="364"/>
      <c r="C923" s="363"/>
      <c r="E923" s="363"/>
      <c r="G923" s="363"/>
      <c r="K923" s="368" t="str">
        <f>IF(ISNA(HLOOKUP("start",ESLData!C$1:C$9955,MATCH($A923,ESLData!$B$1:$B$9955,0))),"",HLOOKUP("start",ESLData!C$1:C$9955,MATCH($A923,ESLData!$B$1:$B$9955,0)))</f>
        <v/>
      </c>
    </row>
    <row r="924" spans="1:11" ht="14.25" customHeight="1" x14ac:dyDescent="0.2">
      <c r="A924" s="367" t="s">
        <v>865</v>
      </c>
      <c r="C924" s="363"/>
      <c r="E924" s="363"/>
      <c r="G924" s="363"/>
      <c r="K924" s="368" t="str">
        <f>IF(ISNA(HLOOKUP("start",ESLData!C$1:C$9955,MATCH($A924,ESLData!$B$1:$B$9955,0))),"",HLOOKUP("start",ESLData!C$1:C$9955,MATCH($A924,ESLData!$B$1:$B$9955,0)))</f>
        <v/>
      </c>
    </row>
    <row r="925" spans="1:11" ht="14.25" customHeight="1" x14ac:dyDescent="0.2">
      <c r="A925" s="367" t="s">
        <v>866</v>
      </c>
      <c r="C925" s="363"/>
      <c r="E925" s="363"/>
      <c r="G925" s="363"/>
      <c r="K925" s="368" t="str">
        <f>IF(ISNA(HLOOKUP("start",ESLData!C$1:C$9955,MATCH($A925,ESLData!$B$1:$B$9955,0))),"",HLOOKUP("start",ESLData!C$1:C$9955,MATCH($A925,ESLData!$B$1:$B$9955,0)))</f>
        <v/>
      </c>
    </row>
    <row r="926" spans="1:11" ht="14.25" customHeight="1" x14ac:dyDescent="0.2">
      <c r="A926" s="364">
        <v>9000</v>
      </c>
      <c r="C926" s="363">
        <f>HLOOKUP("start",ESLData!E$1:E$9955,MATCH($A926,ESLData!$B$1:$B$9955,0))</f>
        <v>749090.1</v>
      </c>
      <c r="D926" s="401">
        <f>ROUND(SUM(C926),0)</f>
        <v>749090</v>
      </c>
      <c r="E926" s="363">
        <f>HLOOKUP("start",ESLData!F$1:F$9955,MATCH($A926,ESLData!$B$1:$B$9955,0))</f>
        <v>501483</v>
      </c>
      <c r="F926" s="369">
        <f>ROUND(SUM(E926),0)</f>
        <v>501483</v>
      </c>
      <c r="G926" s="363">
        <f>HLOOKUP("start",ESLData!H$1:H$9955,MATCH($A926,ESLData!$B$1:$B$9955,0))</f>
        <v>548126.94999999995</v>
      </c>
      <c r="H926" s="369">
        <f>ROUND(SUM(G926),0)</f>
        <v>548127</v>
      </c>
      <c r="K926" s="368" t="str">
        <f>IF(ISNA(HLOOKUP("start",ESLData!C$1:C$9955,MATCH($A926,ESLData!$B$1:$B$9955,0))),"",HLOOKUP("start",ESLData!C$1:C$9955,MATCH($A926,ESLData!$B$1:$B$9955,0)))</f>
        <v>ASB Trust Account</v>
      </c>
    </row>
    <row r="927" spans="1:11" ht="14.25" customHeight="1" x14ac:dyDescent="0.2">
      <c r="A927" s="364">
        <v>9001</v>
      </c>
      <c r="C927" s="363">
        <f>HLOOKUP("start",ESLData!E$1:E$9955,MATCH($A927,ESLData!$B$1:$B$9955,0))</f>
        <v>837744.38</v>
      </c>
      <c r="D927" s="401">
        <f>ROUND(SUM(C927),0)</f>
        <v>837744</v>
      </c>
      <c r="E927" s="363">
        <f>HLOOKUP("start",ESLData!F$1:F$9955,MATCH($A927,ESLData!$B$1:$B$9955,0))</f>
        <v>1097281</v>
      </c>
      <c r="F927" s="369">
        <f>ROUND(SUM(E927),0)</f>
        <v>1097281</v>
      </c>
      <c r="G927" s="363">
        <f>HLOOKUP("start",ESLData!H$1:H$9955,MATCH($A927,ESLData!$B$1:$B$9955,0))</f>
        <v>1097281.33</v>
      </c>
      <c r="H927" s="369">
        <f>ROUND(SUM(G927),0)</f>
        <v>1097281</v>
      </c>
      <c r="K927" s="368" t="str">
        <f>IF(ISNA(HLOOKUP("start",ESLData!C$1:C$9955,MATCH($A927,ESLData!$B$1:$B$9955,0))),"",HLOOKUP("start",ESLData!C$1:C$9955,MATCH($A927,ESLData!$B$1:$B$9955,0)))</f>
        <v>ASB Account 01</v>
      </c>
    </row>
    <row r="928" spans="1:11" ht="14.25" customHeight="1" x14ac:dyDescent="0.2">
      <c r="A928" s="364">
        <v>9002</v>
      </c>
      <c r="C928" s="363"/>
      <c r="D928" s="401"/>
      <c r="E928" s="363"/>
      <c r="F928" s="369"/>
      <c r="G928" s="363"/>
      <c r="H928" s="369"/>
      <c r="K928" s="368"/>
    </row>
    <row r="929" spans="1:11" ht="14.25" customHeight="1" x14ac:dyDescent="0.2">
      <c r="A929" s="364">
        <v>9029</v>
      </c>
      <c r="C929" s="363">
        <f>HLOOKUP("start",ESLData!E$1:E$9955,MATCH($A929,ESLData!$B$1:$B$9955,0))</f>
        <v>1912.66</v>
      </c>
      <c r="D929" s="401">
        <f>ROUND(SUM(C929),0)</f>
        <v>1913</v>
      </c>
      <c r="E929" s="363">
        <f>HLOOKUP("start",ESLData!F$1:F$9955,MATCH($A929,ESLData!$B$1:$B$9955,0))</f>
        <v>1913</v>
      </c>
      <c r="F929" s="369">
        <f>ROUND(SUM(E929),0)</f>
        <v>1913</v>
      </c>
      <c r="G929" s="363">
        <f>HLOOKUP("start",ESLData!H$1:H$9955,MATCH($A929,ESLData!$B$1:$B$9955,0))</f>
        <v>1912.66</v>
      </c>
      <c r="H929" s="369">
        <f>ROUND(SUM(G929),0)</f>
        <v>1913</v>
      </c>
      <c r="K929" s="368" t="str">
        <f>IF(ISNA(HLOOKUP("start",ESLData!C$1:C$9955,MATCH($A929,ESLData!$B$1:$B$9955,0))),"",HLOOKUP("start",ESLData!C$1:C$9955,MATCH($A929,ESLData!$B$1:$B$9955,0)))</f>
        <v>Petty Cash</v>
      </c>
    </row>
    <row r="930" spans="1:11" ht="14.25" customHeight="1" x14ac:dyDescent="0.2">
      <c r="A930" s="364">
        <v>9003</v>
      </c>
      <c r="C930" s="363">
        <f>HLOOKUP("start",ESLData!E$1:E$9955,MATCH($A930,ESLData!$B$1:$B$9955,0))</f>
        <v>939667.26</v>
      </c>
      <c r="E930" s="363">
        <f>HLOOKUP("start",ESLData!F$1:F$9955,MATCH($A930,ESLData!$B$1:$B$9955,0))</f>
        <v>0</v>
      </c>
      <c r="G930" s="363">
        <f>HLOOKUP("start",ESLData!H$1:H$9955,MATCH($A930,ESLData!$B$1:$B$9955,0))</f>
        <v>902073.02</v>
      </c>
      <c r="K930" s="368" t="str">
        <f>IF(ISNA(HLOOKUP("start",ESLData!C$1:C$9955,MATCH($A930,ESLData!$B$1:$B$9955,0))),"",HLOOKUP("start",ESLData!C$1:C$9955,MATCH($A930,ESLData!$B$1:$B$9955,0)))</f>
        <v>ASB Term Investment #74</v>
      </c>
    </row>
    <row r="931" spans="1:11" ht="14.25" customHeight="1" x14ac:dyDescent="0.2">
      <c r="A931" s="367" t="s">
        <v>983</v>
      </c>
      <c r="C931" s="363"/>
      <c r="E931" s="363"/>
      <c r="G931" s="363"/>
      <c r="K931" s="368" t="str">
        <f>IF(ISNA(HLOOKUP("start",ESLData!C$1:C$9955,MATCH($A931,ESLData!$B$1:$B$9955,0))),"",HLOOKUP("start",ESLData!C$1:C$9955,MATCH($A931,ESLData!$B$1:$B$9955,0)))</f>
        <v/>
      </c>
    </row>
    <row r="932" spans="1:11" ht="14.25" customHeight="1" x14ac:dyDescent="0.2">
      <c r="A932" s="364">
        <v>9004</v>
      </c>
      <c r="B932" s="368" t="s">
        <v>977</v>
      </c>
      <c r="C932" s="363">
        <f>HLOOKUP("start",ESLData!E$1:E$9955,MATCH($A932,ESLData!$B$1:$B$9955,0))</f>
        <v>550026.56000000006</v>
      </c>
      <c r="E932" s="363">
        <f>HLOOKUP("start",ESLData!F$1:F$9955,MATCH($A932,ESLData!$B$1:$B$9955,0))</f>
        <v>0</v>
      </c>
      <c r="G932" s="363">
        <f>HLOOKUP("start",ESLData!H$1:H$9955,MATCH($A932,ESLData!$B$1:$B$9955,0))</f>
        <v>535890.16</v>
      </c>
      <c r="K932" s="368" t="str">
        <f>IF(ISNA(HLOOKUP("start",ESLData!C$1:C$9955,MATCH($A932,ESLData!$B$1:$B$9955,0))),"",HLOOKUP("start",ESLData!C$1:C$9955,MATCH($A932,ESLData!$B$1:$B$9955,0)))</f>
        <v>ASB Term Investment #75</v>
      </c>
    </row>
    <row r="933" spans="1:11" ht="14.25" customHeight="1" x14ac:dyDescent="0.2">
      <c r="A933" s="364">
        <v>9005</v>
      </c>
      <c r="C933" s="363">
        <f>HLOOKUP("start",ESLData!E$1:E$9955,MATCH($A933,ESLData!$B$1:$B$9955,0))</f>
        <v>0</v>
      </c>
      <c r="E933" s="363">
        <f>HLOOKUP("start",ESLData!F$1:F$9955,MATCH($A933,ESLData!$B$1:$B$9955,0))</f>
        <v>0</v>
      </c>
      <c r="G933" s="363">
        <f>HLOOKUP("start",ESLData!H$1:H$9955,MATCH($A933,ESLData!$B$1:$B$9955,0))</f>
        <v>504473.97</v>
      </c>
      <c r="K933" s="368" t="str">
        <f>IF(ISNA(HLOOKUP("start",ESLData!C$1:C$9955,MATCH($A933,ESLData!$B$1:$B$9955,0))),"",HLOOKUP("start",ESLData!C$1:C$9955,MATCH($A933,ESLData!$B$1:$B$9955,0)))</f>
        <v>ASB Term Investment #79</v>
      </c>
    </row>
    <row r="934" spans="1:11" ht="14.25" customHeight="1" x14ac:dyDescent="0.2">
      <c r="A934" s="364">
        <v>9006</v>
      </c>
      <c r="B934" s="368" t="s">
        <v>977</v>
      </c>
      <c r="C934" s="363">
        <f>HLOOKUP("start",ESLData!E$1:E$9955,MATCH($A934,ESLData!$B$1:$B$9955,0))</f>
        <v>850594.91</v>
      </c>
      <c r="E934" s="363">
        <f>HLOOKUP("start",ESLData!F$1:F$9955,MATCH($A934,ESLData!$B$1:$B$9955,0))</f>
        <v>6101371</v>
      </c>
      <c r="G934" s="363">
        <f>HLOOKUP("start",ESLData!H$1:H$9955,MATCH($A934,ESLData!$B$1:$B$9955,0))</f>
        <v>850594.91</v>
      </c>
      <c r="K934" s="368" t="str">
        <f>IF(ISNA(HLOOKUP("start",ESLData!C$1:C$9955,MATCH($A934,ESLData!$B$1:$B$9955,0))),"",HLOOKUP("start",ESLData!C$1:C$9955,MATCH($A934,ESLData!$B$1:$B$9955,0)))</f>
        <v>ASB Term Investment 81</v>
      </c>
    </row>
    <row r="935" spans="1:11" ht="14.25" customHeight="1" x14ac:dyDescent="0.2">
      <c r="A935" s="364">
        <v>9007</v>
      </c>
      <c r="B935" s="368" t="s">
        <v>977</v>
      </c>
      <c r="C935" s="363">
        <f>HLOOKUP("start",ESLData!E$1:E$9955,MATCH($A935,ESLData!$B$1:$B$9955,0))</f>
        <v>414287.2</v>
      </c>
      <c r="E935" s="363">
        <f>HLOOKUP("start",ESLData!F$1:F$9955,MATCH($A935,ESLData!$B$1:$B$9955,0))</f>
        <v>0</v>
      </c>
      <c r="G935" s="363">
        <f>HLOOKUP("start",ESLData!H$1:H$9955,MATCH($A935,ESLData!$B$1:$B$9955,0))</f>
        <v>400000</v>
      </c>
      <c r="K935" s="368" t="str">
        <f>IF(ISNA(HLOOKUP("start",ESLData!C$1:C$9955,MATCH($A935,ESLData!$B$1:$B$9955,0))),"",HLOOKUP("start",ESLData!C$1:C$9955,MATCH($A935,ESLData!$B$1:$B$9955,0)))</f>
        <v>ASB Term Investment #82</v>
      </c>
    </row>
    <row r="936" spans="1:11" ht="14.25" customHeight="1" x14ac:dyDescent="0.2">
      <c r="A936" s="364">
        <v>9008</v>
      </c>
      <c r="C936" s="363">
        <f>HLOOKUP("start",ESLData!E$1:E$9955,MATCH($A936,ESLData!$B$1:$B$9955,0))</f>
        <v>509641.89</v>
      </c>
      <c r="E936" s="363">
        <f>HLOOKUP("start",ESLData!F$1:F$9955,MATCH($A936,ESLData!$B$1:$B$9955,0))</f>
        <v>0</v>
      </c>
      <c r="G936" s="363">
        <f>HLOOKUP("start",ESLData!H$1:H$9955,MATCH($A936,ESLData!$B$1:$B$9955,0))</f>
        <v>0</v>
      </c>
      <c r="K936" s="368" t="str">
        <f>IF(ISNA(HLOOKUP("start",ESLData!C$1:C$9955,MATCH($A936,ESLData!$B$1:$B$9955,0))),"",HLOOKUP("start",ESLData!C$1:C$9955,MATCH($A936,ESLData!$B$1:$B$9955,0)))</f>
        <v>ASB Term Investment #83</v>
      </c>
    </row>
    <row r="937" spans="1:11" ht="14.25" customHeight="1" x14ac:dyDescent="0.2">
      <c r="A937" s="364">
        <v>9009</v>
      </c>
      <c r="B937" s="368" t="s">
        <v>977</v>
      </c>
      <c r="C937" s="363">
        <f>HLOOKUP("start",ESLData!E$1:E$9955,MATCH($A937,ESLData!$B$1:$B$9955,0))</f>
        <v>302268.49</v>
      </c>
      <c r="E937" s="363">
        <f>HLOOKUP("start",ESLData!F$1:F$9955,MATCH($A937,ESLData!$B$1:$B$9955,0))</f>
        <v>0</v>
      </c>
      <c r="G937" s="363">
        <f>HLOOKUP("start",ESLData!H$1:H$9955,MATCH($A937,ESLData!$B$1:$B$9955,0))</f>
        <v>0</v>
      </c>
      <c r="K937" s="368" t="str">
        <f>IF(ISNA(HLOOKUP("start",ESLData!C$1:C$9955,MATCH($A937,ESLData!$B$1:$B$9955,0))),"",HLOOKUP("start",ESLData!C$1:C$9955,MATCH($A937,ESLData!$B$1:$B$9955,0)))</f>
        <v>ASB Term Investment #84</v>
      </c>
    </row>
    <row r="938" spans="1:11" ht="14.25" customHeight="1" x14ac:dyDescent="0.2">
      <c r="A938" s="364">
        <v>9010</v>
      </c>
      <c r="C938" s="363">
        <f>HLOOKUP("start",ESLData!E$1:E$9955,MATCH($A938,ESLData!$B$1:$B$9955,0))</f>
        <v>0</v>
      </c>
      <c r="E938" s="363">
        <f>HLOOKUP("start",ESLData!F$1:F$9955,MATCH($A938,ESLData!$B$1:$B$9955,0))</f>
        <v>0</v>
      </c>
      <c r="G938" s="363">
        <f>HLOOKUP("start",ESLData!H$1:H$9955,MATCH($A938,ESLData!$B$1:$B$9955,0))</f>
        <v>0</v>
      </c>
      <c r="K938" s="368" t="str">
        <f>IF(ISNA(HLOOKUP("start",ESLData!C$1:C$9955,MATCH($A938,ESLData!$B$1:$B$9955,0))),"",HLOOKUP("start",ESLData!C$1:C$9955,MATCH($A938,ESLData!$B$1:$B$9955,0)))</f>
        <v>ASB Term Investment #85</v>
      </c>
    </row>
    <row r="939" spans="1:11" ht="14.25" customHeight="1" x14ac:dyDescent="0.2">
      <c r="A939" s="364">
        <v>9011</v>
      </c>
      <c r="C939" s="363"/>
      <c r="E939" s="363"/>
      <c r="G939" s="363"/>
      <c r="K939" s="368" t="str">
        <f>IF(ISNA(HLOOKUP("start",ESLData!C$1:C$9955,MATCH($A939,ESLData!$B$1:$B$9955,0))),"",HLOOKUP("start",ESLData!C$1:C$9955,MATCH($A939,ESLData!$B$1:$B$9955,0)))</f>
        <v/>
      </c>
    </row>
    <row r="940" spans="1:11" ht="14.25" customHeight="1" x14ac:dyDescent="0.2">
      <c r="A940" s="364">
        <v>9012</v>
      </c>
      <c r="C940" s="363">
        <f>HLOOKUP("start",ESLData!E$1:E$9955,MATCH($A940,ESLData!$B$1:$B$9955,0))</f>
        <v>662451.67000000004</v>
      </c>
      <c r="E940" s="363">
        <f>HLOOKUP("start",ESLData!F$1:F$9955,MATCH($A940,ESLData!$B$1:$B$9955,0))</f>
        <v>0</v>
      </c>
      <c r="G940" s="363">
        <f>HLOOKUP("start",ESLData!H$1:H$9955,MATCH($A940,ESLData!$B$1:$B$9955,0))</f>
        <v>645762.5</v>
      </c>
      <c r="K940" s="368" t="str">
        <f>IF(ISNA(HLOOKUP("start",ESLData!C$1:C$9955,MATCH($A940,ESLData!$B$1:$B$9955,0))),"",HLOOKUP("start",ESLData!C$1:C$9955,MATCH($A940,ESLData!$B$1:$B$9955,0)))</f>
        <v>ASB Term Investment #72</v>
      </c>
    </row>
    <row r="941" spans="1:11" ht="14.25" customHeight="1" x14ac:dyDescent="0.2">
      <c r="A941" s="364">
        <v>9013</v>
      </c>
      <c r="C941" s="363">
        <f>HLOOKUP("start",ESLData!E$1:E$9955,MATCH($A941,ESLData!$B$1:$B$9955,0))</f>
        <v>0</v>
      </c>
      <c r="E941" s="363">
        <f>HLOOKUP("start",ESLData!F$1:F$9955,MATCH($A941,ESLData!$B$1:$B$9955,0))</f>
        <v>0</v>
      </c>
      <c r="G941" s="363">
        <f>HLOOKUP("start",ESLData!H$1:H$9955,MATCH($A941,ESLData!$B$1:$B$9955,0))</f>
        <v>0</v>
      </c>
      <c r="K941" s="368" t="str">
        <f>IF(ISNA(HLOOKUP("start",ESLData!C$1:C$9955,MATCH($A941,ESLData!$B$1:$B$9955,0))),"",HLOOKUP("start",ESLData!C$1:C$9955,MATCH($A941,ESLData!$B$1:$B$9955,0)))</f>
        <v>Asb Term Deposit #90</v>
      </c>
    </row>
    <row r="942" spans="1:11" ht="14.25" customHeight="1" x14ac:dyDescent="0.2">
      <c r="A942" s="364">
        <v>9014</v>
      </c>
      <c r="C942" s="363"/>
      <c r="E942" s="363"/>
      <c r="G942" s="363"/>
      <c r="K942" s="368" t="str">
        <f>IF(ISNA(HLOOKUP("start",ESLData!C$1:C$9955,MATCH($A942,ESLData!$B$1:$B$9955,0))),"",HLOOKUP("start",ESLData!C$1:C$9955,MATCH($A942,ESLData!$B$1:$B$9955,0)))</f>
        <v/>
      </c>
    </row>
    <row r="943" spans="1:11" ht="14.25" customHeight="1" x14ac:dyDescent="0.2">
      <c r="A943" s="364">
        <v>9015</v>
      </c>
      <c r="C943" s="363">
        <f>HLOOKUP("start",ESLData!E$1:E$9955,MATCH($A943,ESLData!$B$1:$B$9955,0))</f>
        <v>1272088.58</v>
      </c>
      <c r="E943" s="363">
        <f>HLOOKUP("start",ESLData!F$1:F$9955,MATCH($A943,ESLData!$B$1:$B$9955,0))</f>
        <v>0</v>
      </c>
      <c r="G943" s="363">
        <f>HLOOKUP("start",ESLData!H$1:H$9955,MATCH($A943,ESLData!$B$1:$B$9955,0))</f>
        <v>1250367.1299999999</v>
      </c>
      <c r="K943" s="368" t="str">
        <f>IF(ISNA(HLOOKUP("start",ESLData!C$1:C$9955,MATCH($A943,ESLData!$B$1:$B$9955,0))),"",HLOOKUP("start",ESLData!C$1:C$9955,MATCH($A943,ESLData!$B$1:$B$9955,0)))</f>
        <v>ASB Term Investment #77</v>
      </c>
    </row>
    <row r="944" spans="1:11" ht="14.25" customHeight="1" x14ac:dyDescent="0.2">
      <c r="A944" s="364">
        <v>9016</v>
      </c>
      <c r="B944" s="368" t="s">
        <v>977</v>
      </c>
      <c r="C944" s="363">
        <f>HLOOKUP("start",ESLData!E$1:E$9955,MATCH($A944,ESLData!$B$1:$B$9955,0))</f>
        <v>1024878.15</v>
      </c>
      <c r="E944" s="363">
        <f>HLOOKUP("start",ESLData!F$1:F$9955,MATCH($A944,ESLData!$B$1:$B$9955,0))</f>
        <v>0</v>
      </c>
      <c r="G944" s="363">
        <f>HLOOKUP("start",ESLData!H$1:H$9955,MATCH($A944,ESLData!$B$1:$B$9955,0))</f>
        <v>987314.19</v>
      </c>
      <c r="K944" s="368" t="str">
        <f>IF(ISNA(HLOOKUP("start",ESLData!C$1:C$9955,MATCH($A944,ESLData!$B$1:$B$9955,0))),"",HLOOKUP("start",ESLData!C$1:C$9955,MATCH($A944,ESLData!$B$1:$B$9955,0)))</f>
        <v>ASB Term Investment #73</v>
      </c>
    </row>
    <row r="945" spans="1:11" ht="14.25" customHeight="1" x14ac:dyDescent="0.2">
      <c r="A945" s="364">
        <v>9017</v>
      </c>
      <c r="C945" s="363">
        <f>HLOOKUP("start",ESLData!E$1:E$9955,MATCH($A945,ESLData!$B$1:$B$9955,0))</f>
        <v>0</v>
      </c>
      <c r="E945" s="363">
        <f>HLOOKUP("start",ESLData!F$1:F$9955,MATCH($A945,ESLData!$B$1:$B$9955,0))</f>
        <v>0</v>
      </c>
      <c r="G945" s="363">
        <f>HLOOKUP("start",ESLData!H$1:H$9955,MATCH($A945,ESLData!$B$1:$B$9955,0))</f>
        <v>0</v>
      </c>
      <c r="K945" s="368" t="str">
        <f>IF(ISNA(HLOOKUP("start",ESLData!C$1:C$9955,MATCH($A945,ESLData!$B$1:$B$9955,0))),"",HLOOKUP("start",ESLData!C$1:C$9955,MATCH($A945,ESLData!$B$1:$B$9955,0)))</f>
        <v>ASB Term Investment #88</v>
      </c>
    </row>
    <row r="946" spans="1:11" ht="14.25" customHeight="1" x14ac:dyDescent="0.2">
      <c r="A946" s="364">
        <v>9018</v>
      </c>
      <c r="B946" s="368" t="s">
        <v>977</v>
      </c>
      <c r="C946" s="363">
        <f>HLOOKUP("start",ESLData!E$1:E$9955,MATCH($A946,ESLData!$B$1:$B$9955,0))</f>
        <v>504473.97</v>
      </c>
      <c r="E946" s="363">
        <f>HLOOKUP("start",ESLData!F$1:F$9955,MATCH($A946,ESLData!$B$1:$B$9955,0))</f>
        <v>0</v>
      </c>
      <c r="G946" s="363">
        <f>HLOOKUP("start",ESLData!H$1:H$9955,MATCH($A946,ESLData!$B$1:$B$9955,0))</f>
        <v>0</v>
      </c>
      <c r="K946" s="368" t="str">
        <f>IF(ISNA(HLOOKUP("start",ESLData!C$1:C$9955,MATCH($A946,ESLData!$B$1:$B$9955,0))),"",HLOOKUP("start",ESLData!C$1:C$9955,MATCH($A946,ESLData!$B$1:$B$9955,0)))</f>
        <v>ASB Term Investment #78</v>
      </c>
    </row>
    <row r="947" spans="1:11" ht="14.25" customHeight="1" x14ac:dyDescent="0.2">
      <c r="A947" s="364">
        <v>9019</v>
      </c>
      <c r="B947" s="368" t="s">
        <v>977</v>
      </c>
      <c r="C947" s="363">
        <f>HLOOKUP("start",ESLData!E$1:E$9955,MATCH($A947,ESLData!$B$1:$B$9955,0))</f>
        <v>25708.78</v>
      </c>
      <c r="E947" s="363">
        <f>HLOOKUP("start",ESLData!F$1:F$9955,MATCH($A947,ESLData!$B$1:$B$9955,0))</f>
        <v>0</v>
      </c>
      <c r="G947" s="363">
        <f>HLOOKUP("start",ESLData!H$1:H$9955,MATCH($A947,ESLData!$B$1:$B$9955,0))</f>
        <v>24895.33</v>
      </c>
      <c r="K947" s="368" t="str">
        <f>IF(ISNA(HLOOKUP("start",ESLData!C$1:C$9955,MATCH($A947,ESLData!$B$1:$B$9955,0))),"",HLOOKUP("start",ESLData!C$1:C$9955,MATCH($A947,ESLData!$B$1:$B$9955,0)))</f>
        <v>ASB Term Investment 76 Music School</v>
      </c>
    </row>
    <row r="948" spans="1:11" ht="14.25" customHeight="1" x14ac:dyDescent="0.2">
      <c r="A948" s="364">
        <v>9020</v>
      </c>
      <c r="B948" s="368" t="s">
        <v>977</v>
      </c>
      <c r="C948" s="363">
        <f>HLOOKUP("start",ESLData!E$1:E$9955,MATCH($A948,ESLData!$B$1:$B$9955,0))</f>
        <v>1112682</v>
      </c>
      <c r="E948" s="363">
        <f>HLOOKUP("start",ESLData!F$1:F$9955,MATCH($A948,ESLData!$B$1:$B$9955,0))</f>
        <v>0</v>
      </c>
      <c r="G948" s="363">
        <f>HLOOKUP("start",ESLData!H$1:H$9955,MATCH($A948,ESLData!$B$1:$B$9955,0))</f>
        <v>1076199.04</v>
      </c>
      <c r="K948" s="368" t="str">
        <f>IF(ISNA(HLOOKUP("start",ESLData!C$1:C$9955,MATCH($A948,ESLData!$B$1:$B$9955,0))),"",HLOOKUP("start",ESLData!C$1:C$9955,MATCH($A948,ESLData!$B$1:$B$9955,0)))</f>
        <v>ASB Term Investment #80</v>
      </c>
    </row>
    <row r="949" spans="1:11" ht="14.25" customHeight="1" x14ac:dyDescent="0.2">
      <c r="A949" s="364">
        <v>9021</v>
      </c>
      <c r="C949" s="363">
        <f>HLOOKUP("start",ESLData!E$1:E$9955,MATCH($A949,ESLData!$B$1:$B$9955,0))</f>
        <v>0</v>
      </c>
      <c r="D949" s="369"/>
      <c r="E949" s="363">
        <f>HLOOKUP("start",ESLData!F$1:F$9955,MATCH($A949,ESLData!$B$1:$B$9955,0))</f>
        <v>0</v>
      </c>
      <c r="G949" s="363">
        <f>HLOOKUP("start",ESLData!H$1:H$9955,MATCH($A949,ESLData!$B$1:$B$9955,0))</f>
        <v>0</v>
      </c>
      <c r="K949" s="368" t="str">
        <f>IF(ISNA(HLOOKUP("start",ESLData!C$1:C$9955,MATCH($A949,ESLData!$B$1:$B$9955,0))),"",HLOOKUP("start",ESLData!C$1:C$9955,MATCH($A949,ESLData!$B$1:$B$9955,0)))</f>
        <v>ASB Term Investment 87</v>
      </c>
    </row>
    <row r="950" spans="1:11" ht="14.25" customHeight="1" x14ac:dyDescent="0.2">
      <c r="A950" s="364">
        <v>9002</v>
      </c>
      <c r="B950" s="368" t="s">
        <v>978</v>
      </c>
      <c r="C950" s="363">
        <f>HLOOKUP("start",ESLData!E$1:E$9955,MATCH($A950,ESLData!$B$1:$B$9955,0))</f>
        <v>0</v>
      </c>
      <c r="E950" s="363">
        <f>HLOOKUP("start",ESLData!F$1:F$9955,MATCH($A950,ESLData!$B$1:$B$9955,0))</f>
        <v>0</v>
      </c>
      <c r="G950" s="363">
        <f>HLOOKUP("start",ESLData!H$1:H$9955,MATCH($A950,ESLData!$B$1:$B$9955,0))</f>
        <v>0</v>
      </c>
      <c r="K950" s="368" t="str">
        <f>IF(ISNA(HLOOKUP("start",ESLData!C$1:C$9955,MATCH($A950,ESLData!$B$1:$B$9955,0))),"",HLOOKUP("start",ESLData!C$1:C$9955,MATCH($A950,ESLData!$B$1:$B$9955,0)))</f>
        <v>ASB Savings Account #50</v>
      </c>
    </row>
    <row r="951" spans="1:11" ht="14.25" customHeight="1" x14ac:dyDescent="0.2">
      <c r="A951" s="364">
        <v>9022</v>
      </c>
      <c r="B951" s="368" t="s">
        <v>978</v>
      </c>
      <c r="C951" s="363">
        <f>HLOOKUP("start",ESLData!E$1:E$9955,MATCH($A951,ESLData!$B$1:$B$9955,0))</f>
        <v>0</v>
      </c>
      <c r="D951" s="369">
        <f>ROUND(SUM(C932:C951),0)</f>
        <v>7229102</v>
      </c>
      <c r="E951" s="363">
        <f>HLOOKUP("start",ESLData!F$1:F$9955,MATCH($A951,ESLData!$B$1:$B$9955,0))</f>
        <v>0</v>
      </c>
      <c r="G951" s="363">
        <f>HLOOKUP("start",ESLData!H$1:H$9955,MATCH($A951,ESLData!$B$1:$B$9955,0))</f>
        <v>0</v>
      </c>
      <c r="H951" s="369">
        <f>ROUND(SUM(G932:G951),0)</f>
        <v>6275497</v>
      </c>
      <c r="K951" s="368" t="str">
        <f>IF(ISNA(HLOOKUP("start",ESLData!C$1:C$9955,MATCH($A951,ESLData!$B$1:$B$9955,0))),"",HLOOKUP("start",ESLData!C$1:C$9955,MATCH($A951,ESLData!$B$1:$B$9955,0)))</f>
        <v>ASB Term investment 86</v>
      </c>
    </row>
    <row r="952" spans="1:11" ht="14.25" customHeight="1" x14ac:dyDescent="0.2">
      <c r="A952" s="367" t="s">
        <v>847</v>
      </c>
      <c r="C952" s="363"/>
      <c r="E952" s="363"/>
      <c r="G952" s="363"/>
      <c r="K952" s="368" t="str">
        <f>IF(ISNA(HLOOKUP("start",ESLData!C$1:C$9955,MATCH($A952,ESLData!$B$1:$B$9955,0))),"",HLOOKUP("start",ESLData!C$1:C$9955,MATCH($A952,ESLData!$B$1:$B$9955,0)))</f>
        <v/>
      </c>
    </row>
    <row r="953" spans="1:11" s="368" customFormat="1" ht="14.25" customHeight="1" x14ac:dyDescent="0.2">
      <c r="A953" s="365">
        <v>9114</v>
      </c>
      <c r="C953" s="412">
        <f>HLOOKUP("start",ESLData!E$1:E$9955,MATCH($A953,ESLData!$B$1:$B$9955,0))</f>
        <v>354.7</v>
      </c>
      <c r="E953" s="363">
        <f>HLOOKUP("start",ESLData!F$1:F$9955,MATCH($A953,ESLData!$B$1:$B$9955,0))</f>
        <v>0</v>
      </c>
      <c r="G953" s="363">
        <f>HLOOKUP("start",ESLData!H$1:H$9955,MATCH($A953,ESLData!$B$1:$B$9955,0))</f>
        <v>3607.56</v>
      </c>
      <c r="J953" s="370"/>
      <c r="K953" s="368" t="str">
        <f>IF(ISNA(HLOOKUP("start",ESLData!C$1:C$9955,MATCH($A953,ESLData!$B$1:$B$9955,0))),"",HLOOKUP("start",ESLData!C$1:C$9955,MATCH($A953,ESLData!$B$1:$B$9955,0)))</f>
        <v>Sundry Debtors</v>
      </c>
    </row>
    <row r="954" spans="1:11" ht="14.25" customHeight="1" x14ac:dyDescent="0.2">
      <c r="A954" s="364">
        <v>9115</v>
      </c>
      <c r="C954" s="412">
        <f>HLOOKUP("start",ESLData!E$1:E$9955,MATCH($A954,ESLData!$B$1:$B$9955,0))</f>
        <v>87600.27</v>
      </c>
      <c r="D954" s="401">
        <f>ROUND(SUM(C953:C954),0)</f>
        <v>87955</v>
      </c>
      <c r="E954" s="363">
        <f>HLOOKUP("start",ESLData!F$1:F$9955,MATCH($A954,ESLData!$B$1:$B$9955,0))</f>
        <v>10517</v>
      </c>
      <c r="F954" s="369">
        <f>ROUND(SUM(E954),0)</f>
        <v>10517</v>
      </c>
      <c r="G954" s="363">
        <f>HLOOKUP("start",ESLData!H$1:H$9955,MATCH($A954,ESLData!$B$1:$B$9955,0))</f>
        <v>6908.71</v>
      </c>
      <c r="H954" s="369">
        <f>ROUND(SUM(G953:G954),0)</f>
        <v>10516</v>
      </c>
      <c r="K954" s="368" t="str">
        <f>IF(ISNA(HLOOKUP("start",ESLData!C$1:C$9955,MATCH($A954,ESLData!$B$1:$B$9955,0))),"",HLOOKUP("start",ESLData!C$1:C$9955,MATCH($A954,ESLData!$B$1:$B$9955,0)))</f>
        <v>Accounts Receivable</v>
      </c>
    </row>
    <row r="955" spans="1:11" ht="14.25" customHeight="1" x14ac:dyDescent="0.2">
      <c r="A955" s="364">
        <v>9116</v>
      </c>
      <c r="C955" s="412">
        <f>HLOOKUP("start",ESLData!E$1:E$9955,MATCH($A955,ESLData!$B$1:$B$9955,0))</f>
        <v>46921.63</v>
      </c>
      <c r="D955" s="401">
        <f>ROUND(SUM(C955),0)</f>
        <v>46922</v>
      </c>
      <c r="E955" s="363">
        <f>HLOOKUP("start",ESLData!F$1:F$9955,MATCH($A955,ESLData!$B$1:$B$9955,0))</f>
        <v>48616</v>
      </c>
      <c r="F955" s="369">
        <f>ROUND(SUM(E955),0)</f>
        <v>48616</v>
      </c>
      <c r="G955" s="363">
        <f>HLOOKUP("start",ESLData!H$1:H$9955,MATCH($A955,ESLData!$B$1:$B$9955,0))</f>
        <v>48615.98</v>
      </c>
      <c r="H955" s="369">
        <f>ROUND(SUM(G955),0)</f>
        <v>48616</v>
      </c>
      <c r="I955" s="407">
        <f>ROUND(G954+G955+G953,0)</f>
        <v>59132</v>
      </c>
      <c r="K955" s="368" t="str">
        <f>IF(ISNA(HLOOKUP("start",ESLData!C$1:C$9955,MATCH($A955,ESLData!$B$1:$B$9955,0))),"",HLOOKUP("start",ESLData!C$1:C$9955,MATCH($A955,ESLData!$B$1:$B$9955,0)))</f>
        <v>Novopay repayments/debt</v>
      </c>
    </row>
    <row r="956" spans="1:11" ht="14.25" customHeight="1" x14ac:dyDescent="0.2">
      <c r="A956" s="364" t="s">
        <v>702</v>
      </c>
      <c r="C956" s="412">
        <f>HLOOKUP("start",ESLData!E$1:E$9955,MATCH($A956,ESLData!$B$1:$B$9955,0))</f>
        <v>680242</v>
      </c>
      <c r="D956" s="401">
        <f>ROUND(SUM(C956),0)</f>
        <v>680242</v>
      </c>
      <c r="E956" s="363">
        <f>HLOOKUP("start",ESLData!F$1:F$9955,MATCH($A956,ESLData!$B$1:$B$9955,0))</f>
        <v>625600</v>
      </c>
      <c r="F956" s="369">
        <f>ROUND(SUM(E956),0)</f>
        <v>625600</v>
      </c>
      <c r="G956" s="363">
        <f>HLOOKUP("start",ESLData!H$1:H$9955,MATCH($A956,ESLData!$B$1:$B$9955,0))</f>
        <v>625600</v>
      </c>
      <c r="H956" s="406">
        <f>ROUND(SUM(G956),0)</f>
        <v>625600</v>
      </c>
      <c r="K956" s="368" t="str">
        <f>IF(ISNA(HLOOKUP("start",ESLData!C$1:C$9955,MATCH($A956,ESLData!$B$1:$B$9955,0))),"",HLOOKUP("start",ESLData!C$1:C$9955,MATCH($A956,ESLData!$B$1:$B$9955,0)))</f>
        <v>Teachers Salaries Accrual</v>
      </c>
    </row>
    <row r="957" spans="1:11" ht="14.25" customHeight="1" x14ac:dyDescent="0.2">
      <c r="A957" s="364">
        <v>9112</v>
      </c>
      <c r="C957" s="412">
        <f>HLOOKUP("start",ESLData!E$1:E$9955,MATCH($A957,ESLData!$B$1:$B$9955,0))</f>
        <v>38309.339999999997</v>
      </c>
      <c r="D957" s="401">
        <f>ROUND(SUM(C957),0)</f>
        <v>38309</v>
      </c>
      <c r="E957" s="363">
        <f>HLOOKUP("start",ESLData!F$1:F$9955,MATCH($A957,ESLData!$B$1:$B$9955,0))</f>
        <v>48777</v>
      </c>
      <c r="F957" s="369">
        <f>ROUND(SUM(E957),0)</f>
        <v>48777</v>
      </c>
      <c r="G957" s="363">
        <f>HLOOKUP("start",ESLData!H$1:H$9955,MATCH($A957,ESLData!$B$1:$B$9955,0))</f>
        <v>48777.18</v>
      </c>
      <c r="H957" s="406">
        <f>ROUND(SUM(G957),0)</f>
        <v>48777</v>
      </c>
      <c r="I957" s="407">
        <f>ROUND(SUM(G954:G957),0)</f>
        <v>729902</v>
      </c>
      <c r="K957" s="368" t="str">
        <f>IF(ISNA(HLOOKUP("start",ESLData!C$1:C$9955,MATCH($A957,ESLData!$B$1:$B$9955,0))),"",HLOOKUP("start",ESLData!C$1:C$9955,MATCH($A957,ESLData!$B$1:$B$9955,0)))</f>
        <v>Interest Accrual</v>
      </c>
    </row>
    <row r="958" spans="1:11" ht="14.25" customHeight="1" x14ac:dyDescent="0.2">
      <c r="A958" s="364">
        <v>9120</v>
      </c>
      <c r="C958" s="412">
        <f>HLOOKUP("start",ESLData!E$1:E$9955,MATCH($A958,ESLData!$B$1:$B$9955,0))</f>
        <v>458826.92</v>
      </c>
      <c r="D958" s="401"/>
      <c r="E958" s="363">
        <f>HLOOKUP("start",ESLData!F$1:F$9955,MATCH($A958,ESLData!$B$1:$B$9955,0))</f>
        <v>249776</v>
      </c>
      <c r="F958" s="369">
        <f>ROUND(SUM(E958),0)</f>
        <v>249776</v>
      </c>
      <c r="G958" s="363">
        <f>HLOOKUP("start",ESLData!H$1:H$9955,MATCH($A958,ESLData!$B$1:$B$9955,0))</f>
        <v>249776.25</v>
      </c>
      <c r="H958" s="369">
        <f>ROUND(SUM(G958),0)</f>
        <v>249776</v>
      </c>
      <c r="K958" s="368" t="str">
        <f>IF(ISNA(HLOOKUP("start",ESLData!C$1:C$9955,MATCH($A958,ESLData!$B$1:$B$9955,0))),"",HLOOKUP("start",ESLData!C$1:C$9955,MATCH($A958,ESLData!$B$1:$B$9955,0)))</f>
        <v>Staff Banking Underuse</v>
      </c>
    </row>
    <row r="959" spans="1:11" ht="14.25" customHeight="1" x14ac:dyDescent="0.2">
      <c r="C959" s="412"/>
      <c r="D959" s="401">
        <f>ROUND(SUM(C953:C959),0)</f>
        <v>1312255</v>
      </c>
      <c r="E959" s="363"/>
      <c r="F959" s="369"/>
      <c r="G959" s="363"/>
      <c r="H959" s="369"/>
      <c r="K959" s="368"/>
    </row>
    <row r="960" spans="1:11" ht="14.25" customHeight="1" x14ac:dyDescent="0.2">
      <c r="A960" s="367" t="s">
        <v>1020</v>
      </c>
      <c r="C960" s="363"/>
      <c r="E960" s="363"/>
      <c r="G960" s="363"/>
      <c r="K960" s="368" t="str">
        <f>IF(ISNA(HLOOKUP("start",ESLData!C$1:C$9955,MATCH($A960,ESLData!$B$1:$B$9955,0))),"",HLOOKUP("start",ESLData!C$1:C$9955,MATCH($A960,ESLData!$B$1:$B$9955,0)))</f>
        <v/>
      </c>
    </row>
    <row r="961" spans="1:11" ht="14.25" customHeight="1" x14ac:dyDescent="0.2">
      <c r="A961" s="364">
        <v>9030</v>
      </c>
      <c r="C961" s="363">
        <f>HLOOKUP("start",ESLData!E$1:E$9955,MATCH($A961,ESLData!$B$1:$B$9955,0))</f>
        <v>127336.37</v>
      </c>
      <c r="E961" s="363">
        <f>HLOOKUP("start",ESLData!F$1:F$9955,MATCH($A961,ESLData!$B$1:$B$9955,0))</f>
        <v>43305</v>
      </c>
      <c r="G961" s="363">
        <f>HLOOKUP("start",ESLData!H$1:H$9955,MATCH($A961,ESLData!$B$1:$B$9955,0))</f>
        <v>88151.53</v>
      </c>
      <c r="K961" s="368" t="str">
        <f>IF(ISNA(HLOOKUP("start",ESLData!C$1:C$9955,MATCH($A961,ESLData!$B$1:$B$9955,0))),"",HLOOKUP("start",ESLData!C$1:C$9955,MATCH($A961,ESLData!$B$1:$B$9955,0)))</f>
        <v>GST Input Tax</v>
      </c>
    </row>
    <row r="962" spans="1:11" ht="14.25" customHeight="1" x14ac:dyDescent="0.2">
      <c r="A962" s="364">
        <v>9035</v>
      </c>
      <c r="C962" s="363">
        <f>HLOOKUP("start",ESLData!E$1:E$9955,MATCH($A962,ESLData!$B$1:$B$9955,0))</f>
        <v>0</v>
      </c>
      <c r="E962" s="363">
        <f>HLOOKUP("start",ESLData!F$1:F$9955,MATCH($A962,ESLData!$B$1:$B$9955,0))</f>
        <v>0</v>
      </c>
      <c r="G962" s="363">
        <f>HLOOKUP("start",ESLData!H$1:H$9955,MATCH($A962,ESLData!$B$1:$B$9955,0))</f>
        <v>0</v>
      </c>
      <c r="K962" s="368" t="str">
        <f>IF(ISNA(HLOOKUP("start",ESLData!C$1:C$9955,MATCH($A962,ESLData!$B$1:$B$9955,0))),"",HLOOKUP("start",ESLData!C$1:C$9955,MATCH($A962,ESLData!$B$1:$B$9955,0)))</f>
        <v>GST Clearing Account</v>
      </c>
    </row>
    <row r="963" spans="1:11" ht="14.25" customHeight="1" x14ac:dyDescent="0.2">
      <c r="A963" s="364">
        <v>9040</v>
      </c>
      <c r="C963" s="363">
        <f>HLOOKUP("start",ESLData!E$1:E$9955,MATCH($A963,ESLData!$B$1:$B$9955,0))</f>
        <v>-18346.43</v>
      </c>
      <c r="D963" s="369">
        <f>ROUND(SUM(C961:C963),0)</f>
        <v>108990</v>
      </c>
      <c r="E963" s="363">
        <f>HLOOKUP("start",ESLData!F$1:F$9955,MATCH($A963,ESLData!$B$1:$B$9955,0))</f>
        <v>0</v>
      </c>
      <c r="F963" s="369">
        <f>ROUND(SUM(E961:E963),0)</f>
        <v>43305</v>
      </c>
      <c r="G963" s="363">
        <f>HLOOKUP("start",ESLData!H$1:H$9955,MATCH($A963,ESLData!$B$1:$B$9955,0))</f>
        <v>-44846.06</v>
      </c>
      <c r="H963" s="369">
        <f>ROUND(SUM(G961:G963),0)</f>
        <v>43305</v>
      </c>
      <c r="K963" s="368" t="str">
        <f>IF(ISNA(HLOOKUP("start",ESLData!C$1:C$9955,MATCH($A963,ESLData!$B$1:$B$9955,0))),"",HLOOKUP("start",ESLData!C$1:C$9955,MATCH($A963,ESLData!$B$1:$B$9955,0)))</f>
        <v>GST Output Tax</v>
      </c>
    </row>
    <row r="964" spans="1:11" ht="14.25" customHeight="1" x14ac:dyDescent="0.2">
      <c r="A964" s="367" t="s">
        <v>808</v>
      </c>
      <c r="C964" s="363"/>
      <c r="E964" s="363"/>
      <c r="G964" s="363"/>
      <c r="K964" s="368" t="str">
        <f>IF(ISNA(HLOOKUP("start",ESLData!C$1:C$9955,MATCH($A964,ESLData!$B$1:$B$9955,0))),"",HLOOKUP("start",ESLData!C$1:C$9955,MATCH($A964,ESLData!$B$1:$B$9955,0)))</f>
        <v/>
      </c>
    </row>
    <row r="965" spans="1:11" ht="14.25" customHeight="1" x14ac:dyDescent="0.2">
      <c r="A965" s="364">
        <v>9117</v>
      </c>
      <c r="C965" s="363">
        <f>HLOOKUP("start",ESLData!E$1:E$9955,MATCH($A965,ESLData!$B$1:$B$9955,0))</f>
        <v>81152.5</v>
      </c>
      <c r="D965" s="369">
        <f>ROUND(SUM(C965),0)</f>
        <v>81153</v>
      </c>
      <c r="E965" s="363">
        <f>HLOOKUP("start",ESLData!F$1:F$9955,MATCH($A965,ESLData!$B$1:$B$9955,0))</f>
        <v>80262</v>
      </c>
      <c r="F965" s="369">
        <f>ROUND(SUM(E965),0)</f>
        <v>80262</v>
      </c>
      <c r="G965" s="363">
        <f>HLOOKUP("start",ESLData!H$1:H$9955,MATCH($A965,ESLData!$B$1:$B$9955,0))</f>
        <v>80261.960000000006</v>
      </c>
      <c r="H965" s="369">
        <f>ROUND(SUM(G965),0)</f>
        <v>80262</v>
      </c>
      <c r="K965" s="368" t="str">
        <f>IF(ISNA(HLOOKUP("start",ESLData!C$1:C$9955,MATCH($A965,ESLData!$B$1:$B$9955,0))),"",HLOOKUP("start",ESLData!C$1:C$9955,MATCH($A965,ESLData!$B$1:$B$9955,0)))</f>
        <v>Prepayments</v>
      </c>
    </row>
    <row r="966" spans="1:11" ht="14.25" customHeight="1" x14ac:dyDescent="0.2">
      <c r="A966" s="367" t="s">
        <v>809</v>
      </c>
      <c r="C966" s="363"/>
      <c r="E966" s="363"/>
      <c r="G966" s="363"/>
      <c r="K966" s="368" t="str">
        <f>IF(ISNA(HLOOKUP("start",ESLData!C$1:C$9955,MATCH($A966,ESLData!$B$1:$B$9955,0))),"",HLOOKUP("start",ESLData!C$1:C$9955,MATCH($A966,ESLData!$B$1:$B$9955,0)))</f>
        <v/>
      </c>
    </row>
    <row r="967" spans="1:11" ht="14.25" customHeight="1" x14ac:dyDescent="0.2">
      <c r="A967" s="364">
        <v>9127</v>
      </c>
      <c r="C967" s="363">
        <f>HLOOKUP("start",ESLData!E$1:E$9955,MATCH($A967,ESLData!$B$1:$B$9955,0))</f>
        <v>2007.6</v>
      </c>
      <c r="D967" s="401">
        <f>ROUND(SUM(C967),0)</f>
        <v>2008</v>
      </c>
      <c r="E967" s="363">
        <f>HLOOKUP("start",ESLData!F$1:F$9955,MATCH($A967,ESLData!$B$1:$B$9955,0))</f>
        <v>3143</v>
      </c>
      <c r="F967" s="369">
        <f>ROUND(SUM(E967),0)</f>
        <v>3143</v>
      </c>
      <c r="G967" s="363">
        <f>HLOOKUP("start",ESLData!H$1:H$9955,MATCH($A967,ESLData!$B$1:$B$9955,0))</f>
        <v>3142.81</v>
      </c>
      <c r="H967" s="406">
        <f>ROUND(SUM(G967),0)</f>
        <v>3143</v>
      </c>
      <c r="K967" s="368" t="str">
        <f>IF(ISNA(HLOOKUP("start",ESLData!C$1:C$9955,MATCH($A967,ESLData!$B$1:$B$9955,0))),"",HLOOKUP("start",ESLData!C$1:C$9955,MATCH($A967,ESLData!$B$1:$B$9955,0)))</f>
        <v>Stock on Hand</v>
      </c>
    </row>
    <row r="968" spans="1:11" ht="14.25" customHeight="1" x14ac:dyDescent="0.2">
      <c r="A968" s="367" t="s">
        <v>848</v>
      </c>
      <c r="C968" s="363"/>
      <c r="E968" s="363"/>
      <c r="G968" s="363"/>
      <c r="K968" s="368" t="str">
        <f>IF(ISNA(HLOOKUP("start",ESLData!C$1:C$9955,MATCH($A968,ESLData!$B$1:$B$9955,0))),"",HLOOKUP("start",ESLData!C$1:C$9955,MATCH($A968,ESLData!$B$1:$B$9955,0)))</f>
        <v/>
      </c>
    </row>
    <row r="969" spans="1:11" ht="14.25" customHeight="1" x14ac:dyDescent="0.2">
      <c r="A969" s="364">
        <v>9300</v>
      </c>
      <c r="C969" s="363">
        <f>HLOOKUP("start",ESLData!E$1:E$9955,MATCH($A969,ESLData!$B$1:$B$9955,0))*-1</f>
        <v>60511.64</v>
      </c>
      <c r="D969" s="401">
        <f>ROUND(SUM(C969),0)</f>
        <v>60512</v>
      </c>
      <c r="E969" s="363">
        <f>HLOOKUP("start",ESLData!F$1:F$9955,MATCH($A969,ESLData!$B$1:$B$9955,0))*-1</f>
        <v>0</v>
      </c>
      <c r="F969" s="401">
        <f>ROUND(SUM(E969),0)</f>
        <v>0</v>
      </c>
      <c r="G969" s="363">
        <f>HLOOKUP("start",ESLData!H$1:H$9955,MATCH($A969,ESLData!$B$1:$B$9955,0))*-1</f>
        <v>77628.91</v>
      </c>
      <c r="H969" s="406">
        <f>ROUND(SUM(G969),0)</f>
        <v>77629</v>
      </c>
      <c r="K969" s="368" t="str">
        <f>IF(ISNA(HLOOKUP("start",ESLData!C$1:C$9955,MATCH($A969,ESLData!$B$1:$B$9955,0))),"",HLOOKUP("start",ESLData!C$1:C$9955,MATCH($A969,ESLData!$B$1:$B$9955,0)))</f>
        <v>Creditors Control</v>
      </c>
    </row>
    <row r="970" spans="1:11" ht="14.25" customHeight="1" x14ac:dyDescent="0.2">
      <c r="A970" s="364">
        <v>9318</v>
      </c>
      <c r="C970" s="363">
        <f>HLOOKUP("start",ESLData!E$1:E$9955,MATCH($A970,ESLData!$B$1:$B$9955,0))*-1</f>
        <v>114381.53</v>
      </c>
      <c r="D970" s="401">
        <f t="shared" ref="D970:F973" si="0">ROUND(SUM(C970),0)</f>
        <v>114382</v>
      </c>
      <c r="E970" s="363">
        <f>HLOOKUP("start",ESLData!F$1:F$9955,MATCH($A970,ESLData!$B$1:$B$9955,0))*-1</f>
        <v>126143</v>
      </c>
      <c r="F970" s="401">
        <f t="shared" si="0"/>
        <v>126143</v>
      </c>
      <c r="G970" s="363">
        <f>HLOOKUP("start",ESLData!H$1:H$9955,MATCH($A970,ESLData!$B$1:$B$9955,0))*-1</f>
        <v>126143.21</v>
      </c>
      <c r="H970" s="406">
        <f t="shared" ref="H970:H973" si="1">ROUND(SUM(G970),0)</f>
        <v>126143</v>
      </c>
      <c r="K970" s="368" t="str">
        <f>IF(ISNA(HLOOKUP("start",ESLData!C$1:C$9955,MATCH($A970,ESLData!$B$1:$B$9955,0))),"",HLOOKUP("start",ESLData!C$1:C$9955,MATCH($A970,ESLData!$B$1:$B$9955,0)))</f>
        <v>Leave liability</v>
      </c>
    </row>
    <row r="971" spans="1:11" ht="14.25" customHeight="1" x14ac:dyDescent="0.2">
      <c r="A971" s="364">
        <v>9319</v>
      </c>
      <c r="C971" s="363">
        <f>HLOOKUP("start",ESLData!E$1:E$9955,MATCH($A971,ESLData!$B$1:$B$9955,0))*-1</f>
        <v>8595.76</v>
      </c>
      <c r="D971" s="401">
        <f t="shared" si="0"/>
        <v>8596</v>
      </c>
      <c r="E971" s="363">
        <f>HLOOKUP("start",ESLData!F$1:F$9955,MATCH($A971,ESLData!$B$1:$B$9955,0))*-1</f>
        <v>17034</v>
      </c>
      <c r="F971" s="401">
        <f t="shared" si="0"/>
        <v>17034</v>
      </c>
      <c r="G971" s="363">
        <f>HLOOKUP("start",ESLData!H$1:H$9955,MATCH($A971,ESLData!$B$1:$B$9955,0))*-1</f>
        <v>7036.88</v>
      </c>
      <c r="H971" s="406">
        <f t="shared" si="1"/>
        <v>7037</v>
      </c>
      <c r="K971" s="368" t="str">
        <f>IF(ISNA(HLOOKUP("start",ESLData!C$1:C$9955,MATCH($A971,ESLData!$B$1:$B$9955,0))),"",HLOOKUP("start",ESLData!C$1:C$9955,MATCH($A971,ESLData!$B$1:$B$9955,0)))</f>
        <v>Accrued Audit Fee</v>
      </c>
    </row>
    <row r="972" spans="1:11" ht="14.25" customHeight="1" x14ac:dyDescent="0.2">
      <c r="A972" s="364">
        <v>9320</v>
      </c>
      <c r="C972" s="363">
        <f>HLOOKUP("start",ESLData!E$1:E$9955,MATCH($A972,ESLData!$B$1:$B$9955,0))*-1</f>
        <v>46735.15</v>
      </c>
      <c r="D972" s="401">
        <f t="shared" si="0"/>
        <v>46735</v>
      </c>
      <c r="E972" s="363">
        <f>HLOOKUP("start",ESLData!F$1:F$9955,MATCH($A972,ESLData!$B$1:$B$9955,0))*-1</f>
        <v>106857</v>
      </c>
      <c r="F972" s="401">
        <f t="shared" si="0"/>
        <v>106857</v>
      </c>
      <c r="G972" s="363">
        <f>HLOOKUP("start",ESLData!H$1:H$9955,MATCH($A972,ESLData!$B$1:$B$9955,0))*-1</f>
        <v>39221.53</v>
      </c>
      <c r="H972" s="406">
        <f t="shared" si="1"/>
        <v>39222</v>
      </c>
      <c r="K972" s="368" t="str">
        <f>IF(ISNA(HLOOKUP("start",ESLData!C$1:C$9955,MATCH($A972,ESLData!$B$1:$B$9955,0))),"",HLOOKUP("start",ESLData!C$1:C$9955,MATCH($A972,ESLData!$B$1:$B$9955,0)))</f>
        <v>Accounts Payable</v>
      </c>
    </row>
    <row r="973" spans="1:11" ht="14.25" customHeight="1" x14ac:dyDescent="0.2">
      <c r="A973" s="364" t="s">
        <v>709</v>
      </c>
      <c r="C973" s="363">
        <f>HLOOKUP("start",ESLData!E$1:E$9955,MATCH($A973,ESLData!$B$1:$B$9955,0))*-1</f>
        <v>680242</v>
      </c>
      <c r="D973" s="401">
        <f t="shared" si="0"/>
        <v>680242</v>
      </c>
      <c r="E973" s="363">
        <f>HLOOKUP("start",ESLData!F$1:F$9955,MATCH($A973,ESLData!$B$1:$B$9955,0))*-1</f>
        <v>625600</v>
      </c>
      <c r="F973" s="401">
        <f t="shared" si="0"/>
        <v>625600</v>
      </c>
      <c r="G973" s="363">
        <f>HLOOKUP("start",ESLData!H$1:H$9955,MATCH($A973,ESLData!$B$1:$B$9955,0))*-1</f>
        <v>625600</v>
      </c>
      <c r="H973" s="406">
        <f t="shared" si="1"/>
        <v>625600</v>
      </c>
      <c r="K973" s="368" t="str">
        <f>IF(ISNA(HLOOKUP("start",ESLData!C$1:C$9955,MATCH($A973,ESLData!$B$1:$B$9955,0))),"",HLOOKUP("start",ESLData!C$1:C$9955,MATCH($A973,ESLData!$B$1:$B$9955,0)))</f>
        <v>Teachers Salaries Accrual</v>
      </c>
    </row>
    <row r="974" spans="1:11" ht="14.25" customHeight="1" x14ac:dyDescent="0.2">
      <c r="A974" s="367" t="s">
        <v>1022</v>
      </c>
      <c r="C974" s="363"/>
      <c r="E974" s="363"/>
      <c r="G974" s="363"/>
      <c r="K974" s="368" t="str">
        <f>IF(ISNA(HLOOKUP("start",ESLData!C$1:C$9955,MATCH($A974,ESLData!$B$1:$B$9955,0))),"",HLOOKUP("start",ESLData!C$1:C$9955,MATCH($A974,ESLData!$B$1:$B$9955,0)))</f>
        <v/>
      </c>
    </row>
    <row r="975" spans="1:11" ht="14.25" customHeight="1" x14ac:dyDescent="0.2">
      <c r="A975" s="364">
        <v>9601</v>
      </c>
      <c r="C975" s="363">
        <f>HLOOKUP("start",ESLData!E$1:E$9955,MATCH($A975,ESLData!$B$1:$B$9955,0))*-1</f>
        <v>96.55</v>
      </c>
      <c r="D975" s="401">
        <f>ROUND(SUM(C975),0)</f>
        <v>97</v>
      </c>
      <c r="E975" s="363">
        <f>HLOOKUP("start",ESLData!F$1:F$9955,MATCH($A975,ESLData!$B$1:$B$9955,0))*-1</f>
        <v>0</v>
      </c>
      <c r="F975" s="432">
        <f>ROUND(E975,0)</f>
        <v>0</v>
      </c>
      <c r="G975" s="363">
        <f>HLOOKUP("start",ESLData!H$1:H$9955,MATCH($A975,ESLData!$B$1:$B$9955,0))*-1</f>
        <v>96.55</v>
      </c>
      <c r="H975" s="406">
        <f>ROUND(SUM(G975),0)</f>
        <v>97</v>
      </c>
      <c r="K975" s="368" t="str">
        <f>IF(ISNA(HLOOKUP("start",ESLData!C$1:C$9955,MATCH($A975,ESLData!$B$1:$B$9955,0))),"",HLOOKUP("start",ESLData!C$1:C$9955,MATCH($A975,ESLData!$B$1:$B$9955,0)))</f>
        <v>Doherty Fund</v>
      </c>
    </row>
    <row r="976" spans="1:11" ht="14.25" customHeight="1" x14ac:dyDescent="0.2">
      <c r="A976" s="364">
        <v>9602</v>
      </c>
      <c r="C976" s="363">
        <f>HLOOKUP("start",ESLData!E$1:E$9955,MATCH($A976,ESLData!$B$1:$B$9955,0))*-1</f>
        <v>0</v>
      </c>
      <c r="E976" s="363">
        <f>HLOOKUP("start",ESLData!F$1:F$9955,MATCH($A976,ESLData!$B$1:$B$9955,0))*-1</f>
        <v>30866</v>
      </c>
      <c r="G976" s="363">
        <f>HLOOKUP("start",ESLData!H$1:H$9955,MATCH($A976,ESLData!$B$1:$B$9955,0))*-1</f>
        <v>0</v>
      </c>
      <c r="K976" s="368" t="str">
        <f>IF(ISNA(HLOOKUP("start",ESLData!C$1:C$9955,MATCH($A976,ESLData!$B$1:$B$9955,0))),"",HLOOKUP("start",ESLData!C$1:C$9955,MATCH($A976,ESLData!$B$1:$B$9955,0)))</f>
        <v>Duke Of Edinburgh Award</v>
      </c>
    </row>
    <row r="977" spans="1:11" ht="14.25" customHeight="1" x14ac:dyDescent="0.2">
      <c r="A977" s="364">
        <v>9603</v>
      </c>
      <c r="C977" s="363">
        <f>HLOOKUP("start",ESLData!E$1:E$9955,MATCH($A977,ESLData!$B$1:$B$9955,0))*-1</f>
        <v>-1302.77</v>
      </c>
      <c r="E977" s="363">
        <f>HLOOKUP("start",ESLData!F$1:F$9955,MATCH($A977,ESLData!$B$1:$B$9955,0))*-1</f>
        <v>0</v>
      </c>
      <c r="G977" s="363">
        <f>HLOOKUP("start",ESLData!H$1:H$9955,MATCH($A977,ESLData!$B$1:$B$9955,0))*-1</f>
        <v>-1302.77</v>
      </c>
      <c r="K977" s="368" t="str">
        <f>IF(ISNA(HLOOKUP("start",ESLData!C$1:C$9955,MATCH($A977,ESLData!$B$1:$B$9955,0))),"",HLOOKUP("start",ESLData!C$1:C$9955,MATCH($A977,ESLData!$B$1:$B$9955,0)))</f>
        <v>Gap Student Grant</v>
      </c>
    </row>
    <row r="978" spans="1:11" ht="14.25" customHeight="1" x14ac:dyDescent="0.2">
      <c r="A978" s="364">
        <v>9604</v>
      </c>
      <c r="C978" s="363">
        <f>HLOOKUP("start",ESLData!E$1:E$9955,MATCH($A978,ESLData!$B$1:$B$9955,0))*-1</f>
        <v>0</v>
      </c>
      <c r="E978" s="363">
        <f>HLOOKUP("start",ESLData!F$1:F$9955,MATCH($A978,ESLData!$B$1:$B$9955,0))*-1</f>
        <v>0</v>
      </c>
      <c r="G978" s="363">
        <f>HLOOKUP("start",ESLData!H$1:H$9955,MATCH($A978,ESLData!$B$1:$B$9955,0))*-1</f>
        <v>0</v>
      </c>
      <c r="K978" s="368" t="str">
        <f>IF(ISNA(HLOOKUP("start",ESLData!C$1:C$9955,MATCH($A978,ESLData!$B$1:$B$9955,0))),"",HLOOKUP("start",ESLData!C$1:C$9955,MATCH($A978,ESLData!$B$1:$B$9955,0)))</f>
        <v>Grant In Advance-Current Year</v>
      </c>
    </row>
    <row r="979" spans="1:11" ht="14.25" customHeight="1" x14ac:dyDescent="0.2">
      <c r="A979" s="364">
        <v>9605</v>
      </c>
      <c r="C979" s="363">
        <f>HLOOKUP("start",ESLData!E$1:E$9955,MATCH($A979,ESLData!$B$1:$B$9955,0))*-1</f>
        <v>0</v>
      </c>
      <c r="E979" s="363">
        <f>HLOOKUP("start",ESLData!F$1:F$9955,MATCH($A979,ESLData!$B$1:$B$9955,0))*-1</f>
        <v>0</v>
      </c>
      <c r="G979" s="363">
        <f>HLOOKUP("start",ESLData!H$1:H$9955,MATCH($A979,ESLData!$B$1:$B$9955,0))*-1</f>
        <v>0</v>
      </c>
      <c r="K979" s="368" t="str">
        <f>IF(ISNA(HLOOKUP("start",ESLData!C$1:C$9955,MATCH($A979,ESLData!$B$1:$B$9955,0))),"",HLOOKUP("start",ESLData!C$1:C$9955,MATCH($A979,ESLData!$B$1:$B$9955,0)))</f>
        <v>Income In Advance</v>
      </c>
    </row>
    <row r="980" spans="1:11" ht="14.25" customHeight="1" x14ac:dyDescent="0.2">
      <c r="A980" s="364">
        <v>9606</v>
      </c>
      <c r="C980" s="363">
        <f>HLOOKUP("start",ESLData!E$1:E$9955,MATCH($A980,ESLData!$B$1:$B$9955,0))*-1</f>
        <v>76.28</v>
      </c>
      <c r="E980" s="363">
        <f>HLOOKUP("start",ESLData!F$1:F$9955,MATCH($A980,ESLData!$B$1:$B$9955,0))*-1</f>
        <v>0</v>
      </c>
      <c r="G980" s="363">
        <f>HLOOKUP("start",ESLData!H$1:H$9955,MATCH($A980,ESLData!$B$1:$B$9955,0))*-1</f>
        <v>76.28</v>
      </c>
      <c r="K980" s="368" t="str">
        <f>IF(ISNA(HLOOKUP("start",ESLData!C$1:C$9955,MATCH($A980,ESLData!$B$1:$B$9955,0))),"",HLOOKUP("start",ESLData!C$1:C$9955,MATCH($A980,ESLData!$B$1:$B$9955,0)))</f>
        <v>Kickstart</v>
      </c>
    </row>
    <row r="981" spans="1:11" ht="14.25" customHeight="1" x14ac:dyDescent="0.2">
      <c r="A981" s="364">
        <v>9607</v>
      </c>
      <c r="C981" s="363">
        <f>HLOOKUP("start",ESLData!E$1:E$9955,MATCH($A981,ESLData!$B$1:$B$9955,0))*-1</f>
        <v>0</v>
      </c>
      <c r="E981" s="363">
        <f>HLOOKUP("start",ESLData!F$1:F$9955,MATCH($A981,ESLData!$B$1:$B$9955,0))*-1</f>
        <v>0</v>
      </c>
      <c r="G981" s="363">
        <f>HLOOKUP("start",ESLData!H$1:H$9955,MATCH($A981,ESLData!$B$1:$B$9955,0))*-1</f>
        <v>0</v>
      </c>
      <c r="K981" s="368" t="str">
        <f>IF(ISNA(HLOOKUP("start",ESLData!C$1:C$9955,MATCH($A981,ESLData!$B$1:$B$9955,0))),"",HLOOKUP("start",ESLData!C$1:C$9955,MATCH($A981,ESLData!$B$1:$B$9955,0)))</f>
        <v>Music School</v>
      </c>
    </row>
    <row r="982" spans="1:11" ht="14.25" customHeight="1" x14ac:dyDescent="0.2">
      <c r="A982" s="364">
        <v>9608</v>
      </c>
      <c r="C982" s="363">
        <f>HLOOKUP("start",ESLData!E$1:E$9955,MATCH($A982,ESLData!$B$1:$B$9955,0))*-1</f>
        <v>0</v>
      </c>
      <c r="E982" s="363">
        <f>HLOOKUP("start",ESLData!F$1:F$9955,MATCH($A982,ESLData!$B$1:$B$9955,0))*-1</f>
        <v>0</v>
      </c>
      <c r="G982" s="363">
        <f>HLOOKUP("start",ESLData!H$1:H$9955,MATCH($A982,ESLData!$B$1:$B$9955,0))*-1</f>
        <v>0</v>
      </c>
      <c r="K982" s="368" t="str">
        <f>IF(ISNA(HLOOKUP("start",ESLData!C$1:C$9955,MATCH($A982,ESLData!$B$1:$B$9955,0))),"",HLOOKUP("start",ESLData!C$1:C$9955,MATCH($A982,ESLData!$B$1:$B$9955,0)))</f>
        <v>Music Trust</v>
      </c>
    </row>
    <row r="983" spans="1:11" ht="14.25" customHeight="1" x14ac:dyDescent="0.2">
      <c r="A983" s="364">
        <v>9609</v>
      </c>
      <c r="C983" s="363">
        <f>HLOOKUP("start",ESLData!E$1:E$9955,MATCH($A983,ESLData!$B$1:$B$9955,0))*-1</f>
        <v>-556.27</v>
      </c>
      <c r="E983" s="363">
        <f>HLOOKUP("start",ESLData!F$1:F$9955,MATCH($A983,ESLData!$B$1:$B$9955,0))*-1</f>
        <v>0</v>
      </c>
      <c r="G983" s="363">
        <f>HLOOKUP("start",ESLData!H$1:H$9955,MATCH($A983,ESLData!$B$1:$B$9955,0))*-1</f>
        <v>-556.27</v>
      </c>
      <c r="K983" s="368" t="str">
        <f>IF(ISNA(HLOOKUP("start",ESLData!C$1:C$9955,MATCH($A983,ESLData!$B$1:$B$9955,0))),"",HLOOKUP("start",ESLData!C$1:C$9955,MATCH($A983,ESLData!$B$1:$B$9955,0)))</f>
        <v>Nowak-Kruger Trust</v>
      </c>
    </row>
    <row r="984" spans="1:11" ht="14.25" customHeight="1" x14ac:dyDescent="0.2">
      <c r="A984" s="364">
        <v>9610</v>
      </c>
      <c r="C984" s="363">
        <f>HLOOKUP("start",ESLData!E$1:E$9955,MATCH($A984,ESLData!$B$1:$B$9955,0))*-1</f>
        <v>3259.98</v>
      </c>
      <c r="E984" s="363">
        <f>HLOOKUP("start",ESLData!F$1:F$9955,MATCH($A984,ESLData!$B$1:$B$9955,0))*-1</f>
        <v>0</v>
      </c>
      <c r="G984" s="363">
        <f>HLOOKUP("start",ESLData!H$1:H$9955,MATCH($A984,ESLData!$B$1:$B$9955,0))*-1</f>
        <v>3259.98</v>
      </c>
      <c r="K984" s="368" t="str">
        <f>IF(ISNA(HLOOKUP("start",ESLData!C$1:C$9955,MATCH($A984,ESLData!$B$1:$B$9955,0))),"",HLOOKUP("start",ESLData!C$1:C$9955,MATCH($A984,ESLData!$B$1:$B$9955,0)))</f>
        <v>Otago VRC</v>
      </c>
    </row>
    <row r="985" spans="1:11" ht="14.25" customHeight="1" x14ac:dyDescent="0.2">
      <c r="A985" s="364">
        <v>9611</v>
      </c>
      <c r="C985" s="363">
        <f>HLOOKUP("start",ESLData!E$1:E$9955,MATCH($A985,ESLData!$B$1:$B$9955,0))*-1</f>
        <v>-3.51</v>
      </c>
      <c r="E985" s="363">
        <f>HLOOKUP("start",ESLData!F$1:F$9955,MATCH($A985,ESLData!$B$1:$B$9955,0))*-1</f>
        <v>0</v>
      </c>
      <c r="G985" s="363">
        <f>HLOOKUP("start",ESLData!H$1:H$9955,MATCH($A985,ESLData!$B$1:$B$9955,0))*-1</f>
        <v>4751.96</v>
      </c>
      <c r="K985" s="368" t="str">
        <f>IF(ISNA(HLOOKUP("start",ESLData!C$1:C$9955,MATCH($A985,ESLData!$B$1:$B$9955,0))),"",HLOOKUP("start",ESLData!C$1:C$9955,MATCH($A985,ESLData!$B$1:$B$9955,0)))</f>
        <v>Palmerston North VRC</v>
      </c>
    </row>
    <row r="986" spans="1:11" ht="14.25" customHeight="1" x14ac:dyDescent="0.2">
      <c r="A986" s="364">
        <v>9612</v>
      </c>
      <c r="C986" s="363">
        <f>HLOOKUP("start",ESLData!E$1:E$9955,MATCH($A986,ESLData!$B$1:$B$9955,0))*-1</f>
        <v>316.86</v>
      </c>
      <c r="E986" s="363">
        <f>HLOOKUP("start",ESLData!F$1:F$9955,MATCH($A986,ESLData!$B$1:$B$9955,0))*-1</f>
        <v>0</v>
      </c>
      <c r="G986" s="363">
        <f>HLOOKUP("start",ESLData!H$1:H$9955,MATCH($A986,ESLData!$B$1:$B$9955,0))*-1</f>
        <v>316.86</v>
      </c>
      <c r="K986" s="368" t="str">
        <f>IF(ISNA(HLOOKUP("start",ESLData!C$1:C$9955,MATCH($A986,ESLData!$B$1:$B$9955,0))),"",HLOOKUP("start",ESLData!C$1:C$9955,MATCH($A986,ESLData!$B$1:$B$9955,0)))</f>
        <v>Southland VRC</v>
      </c>
    </row>
    <row r="987" spans="1:11" ht="14.25" customHeight="1" x14ac:dyDescent="0.2">
      <c r="A987" s="364">
        <v>9613</v>
      </c>
      <c r="C987" s="363">
        <f>HLOOKUP("start",ESLData!E$1:E$9955,MATCH($A987,ESLData!$B$1:$B$9955,0))*-1</f>
        <v>4172.22</v>
      </c>
      <c r="E987" s="363">
        <f>HLOOKUP("start",ESLData!F$1:F$9955,MATCH($A987,ESLData!$B$1:$B$9955,0))*-1</f>
        <v>0</v>
      </c>
      <c r="G987" s="363">
        <f>HLOOKUP("start",ESLData!H$1:H$9955,MATCH($A987,ESLData!$B$1:$B$9955,0))*-1</f>
        <v>2818.69</v>
      </c>
      <c r="K987" s="368" t="str">
        <f>IF(ISNA(HLOOKUP("start",ESLData!C$1:C$9955,MATCH($A987,ESLData!$B$1:$B$9955,0))),"",HLOOKUP("start",ESLData!C$1:C$9955,MATCH($A987,ESLData!$B$1:$B$9955,0)))</f>
        <v>Special Ed. Equip. Grant</v>
      </c>
    </row>
    <row r="988" spans="1:11" ht="14.25" customHeight="1" x14ac:dyDescent="0.2">
      <c r="A988" s="364">
        <v>9614</v>
      </c>
      <c r="C988" s="363">
        <f>HLOOKUP("start",ESLData!E$1:E$9955,MATCH($A988,ESLData!$B$1:$B$9955,0))*-1</f>
        <v>-3732.14</v>
      </c>
      <c r="E988" s="363">
        <f>HLOOKUP("start",ESLData!F$1:F$9955,MATCH($A988,ESLData!$B$1:$B$9955,0))*-1</f>
        <v>0</v>
      </c>
      <c r="G988" s="363">
        <f>HLOOKUP("start",ESLData!H$1:H$9955,MATCH($A988,ESLData!$B$1:$B$9955,0))*-1</f>
        <v>-3732.14</v>
      </c>
      <c r="K988" s="368" t="str">
        <f>IF(ISNA(HLOOKUP("start",ESLData!C$1:C$9955,MATCH($A988,ESLData!$B$1:$B$9955,0))),"",HLOOKUP("start",ESLData!C$1:C$9955,MATCH($A988,ESLData!$B$1:$B$9955,0)))</f>
        <v>Vision Education Agency</v>
      </c>
    </row>
    <row r="989" spans="1:11" ht="14.25" customHeight="1" x14ac:dyDescent="0.2">
      <c r="A989" s="364">
        <v>9615</v>
      </c>
      <c r="C989" s="363">
        <f>HLOOKUP("start",ESLData!E$1:E$9955,MATCH($A989,ESLData!$B$1:$B$9955,0))*-1</f>
        <v>16845.7</v>
      </c>
      <c r="E989" s="363">
        <f>HLOOKUP("start",ESLData!F$1:F$9955,MATCH($A989,ESLData!$B$1:$B$9955,0))*-1</f>
        <v>0</v>
      </c>
      <c r="G989" s="363">
        <f>HLOOKUP("start",ESLData!H$1:H$9955,MATCH($A989,ESLData!$B$1:$B$9955,0))*-1</f>
        <v>16845.7</v>
      </c>
      <c r="K989" s="368" t="str">
        <f>IF(ISNA(HLOOKUP("start",ESLData!C$1:C$9955,MATCH($A989,ESLData!$B$1:$B$9955,0))),"",HLOOKUP("start",ESLData!C$1:C$9955,MATCH($A989,ESLData!$B$1:$B$9955,0)))</f>
        <v>Visual Resource Centres</v>
      </c>
    </row>
    <row r="990" spans="1:11" ht="14.25" customHeight="1" x14ac:dyDescent="0.2">
      <c r="A990" s="364">
        <v>9322</v>
      </c>
      <c r="C990" s="363">
        <f>HLOOKUP("start",ESLData!E$1:E$9955,MATCH($A990,ESLData!$B$1:$B$9955,0))*-1</f>
        <v>10000</v>
      </c>
      <c r="E990" s="363">
        <f>HLOOKUP("start",ESLData!F$1:F$9955,MATCH($A990,ESLData!$B$1:$B$9955,0))*-1</f>
        <v>0</v>
      </c>
      <c r="G990" s="363">
        <f>HLOOKUP("start",ESLData!H$1:H$9955,MATCH($A990,ESLData!$B$1:$B$9955,0))*-1</f>
        <v>0</v>
      </c>
      <c r="K990" s="368"/>
    </row>
    <row r="991" spans="1:11" ht="14.25" customHeight="1" x14ac:dyDescent="0.2">
      <c r="A991" s="364">
        <v>9616</v>
      </c>
      <c r="C991" s="363">
        <f>HLOOKUP("start",ESLData!E$1:E$9955,MATCH($A991,ESLData!$B$1:$B$9955,0))*-1</f>
        <v>-740.43</v>
      </c>
      <c r="E991" s="363">
        <f>HLOOKUP("start",ESLData!F$1:F$9955,MATCH($A991,ESLData!$B$1:$B$9955,0))*-1</f>
        <v>0</v>
      </c>
      <c r="G991" s="363">
        <f>HLOOKUP("start",ESLData!H$1:H$9955,MATCH($A991,ESLData!$B$1:$B$9955,0))*-1</f>
        <v>-740.43</v>
      </c>
      <c r="K991" s="368" t="str">
        <f>IF(ISNA(HLOOKUP("start",ESLData!C$1:C$9955,MATCH($A991,ESLData!$B$1:$B$9955,0))),"",HLOOKUP("start",ESLData!C$1:C$9955,MATCH($A991,ESLData!$B$1:$B$9955,0)))</f>
        <v>Jumpstart</v>
      </c>
    </row>
    <row r="992" spans="1:11" s="368" customFormat="1" ht="14.25" customHeight="1" x14ac:dyDescent="0.2">
      <c r="A992" s="364">
        <v>9617</v>
      </c>
      <c r="C992" s="363">
        <f>HLOOKUP("start",ESLData!E$1:E$9955,MATCH($A992,ESLData!$B$1:$B$9955,0))*-1</f>
        <v>5876.41</v>
      </c>
      <c r="D992" s="401">
        <f>ROUND(SUM(C976:C992),0)</f>
        <v>34212</v>
      </c>
      <c r="E992" s="363">
        <f>HLOOKUP("start",ESLData!F$1:F$9955,MATCH($A992,ESLData!$B$1:$B$9955,0))*-1</f>
        <v>0</v>
      </c>
      <c r="F992" s="401">
        <f>ROUND(SUM(E976:E992),0)</f>
        <v>30866</v>
      </c>
      <c r="G992" s="363">
        <f>HLOOKUP("start",ESLData!H$1:H$9955,MATCH($A992,ESLData!$B$1:$B$9955,0))*-1</f>
        <v>9031.52</v>
      </c>
      <c r="H992" s="401">
        <f>ROUND(SUM(G976:G992),0)</f>
        <v>30769</v>
      </c>
      <c r="K992" s="368" t="str">
        <f>IF(ISNA(HLOOKUP("start",ESLData!C$1:C$9955,MATCH($A992,ESLData!$B$1:$B$9955,0))),"",HLOOKUP("start",ESLData!C$1:C$9955,MATCH($A992,ESLData!$B$1:$B$9955,0)))</f>
        <v>Auckland North VRC</v>
      </c>
    </row>
    <row r="993" spans="1:11" ht="14.25" customHeight="1" x14ac:dyDescent="0.2">
      <c r="A993" s="367" t="s">
        <v>470</v>
      </c>
      <c r="C993" s="363"/>
      <c r="E993" s="363"/>
      <c r="G993" s="363"/>
      <c r="K993" s="368" t="str">
        <f>IF(ISNA(HLOOKUP("start",ESLData!C$1:C$9955,MATCH($A993,ESLData!$B$1:$B$9955,0))),"",HLOOKUP("start",ESLData!C$1:C$9955,MATCH($A993,ESLData!$B$1:$B$9955,0)))</f>
        <v/>
      </c>
    </row>
    <row r="994" spans="1:11" ht="14.25" customHeight="1" x14ac:dyDescent="0.2">
      <c r="A994" s="364">
        <v>9329</v>
      </c>
      <c r="C994" s="363">
        <f>HLOOKUP("start",ESLData!E$1:E$9955,MATCH($A994,ESLData!$B$1:$B$9955,0))*-1</f>
        <v>0</v>
      </c>
      <c r="D994" s="369">
        <f>ROUND(SUM(C994),0)</f>
        <v>0</v>
      </c>
      <c r="E994" s="363">
        <f>HLOOKUP("start",ESLData!F$1:F$9955,MATCH($A994,ESLData!$B$1:$B$9955,0))*-1</f>
        <v>81000</v>
      </c>
      <c r="F994" s="369">
        <f>ROUND(SUM(E994),0)</f>
        <v>81000</v>
      </c>
      <c r="G994" s="363">
        <f>HLOOKUP("start",ESLData!H$1:H$9955,MATCH($A994,ESLData!$B$1:$B$9955,0))*-1</f>
        <v>0</v>
      </c>
      <c r="H994" s="369">
        <f>ROUND(SUM(G994),0)</f>
        <v>0</v>
      </c>
      <c r="K994" s="368" t="str">
        <f>IF(ISNA(HLOOKUP("start",ESLData!C$1:C$9955,MATCH($A994,ESLData!$B$1:$B$9955,0))),"",HLOOKUP("start",ESLData!C$1:C$9955,MATCH($A994,ESLData!$B$1:$B$9955,0)))</f>
        <v>Cyclical Maintenance Provision</v>
      </c>
    </row>
    <row r="995" spans="1:11" ht="14.25" customHeight="1" x14ac:dyDescent="0.2">
      <c r="A995" s="364">
        <v>9429</v>
      </c>
      <c r="C995" s="363">
        <f>HLOOKUP("start",ESLData!E$1:E$9955,MATCH($A995,ESLData!$B$1:$B$9955,0))*-1</f>
        <v>133237</v>
      </c>
      <c r="D995" s="406">
        <f>ROUND(SUM(C995),0)</f>
        <v>133237</v>
      </c>
      <c r="E995" s="363">
        <f>HLOOKUP("start",ESLData!F$1:F$9955,MATCH($A995,ESLData!$B$1:$B$9955,0))</f>
        <v>-55933</v>
      </c>
      <c r="F995" s="369">
        <f>ROUND(SUM(E995),0)</f>
        <v>-55933</v>
      </c>
      <c r="G995" s="363">
        <f>HLOOKUP("start",ESLData!H$1:H$9955,MATCH($A995,ESLData!$B$1:$B$9955,0))*-1</f>
        <v>121122</v>
      </c>
      <c r="H995" s="369">
        <f>ROUND(SUM(G995),0)</f>
        <v>121122</v>
      </c>
      <c r="K995" s="368" t="str">
        <f>IF(ISNA(HLOOKUP("start",ESLData!C$1:C$9955,MATCH($A995,ESLData!$B$1:$B$9955,0))),"",HLOOKUP("start",ESLData!C$1:C$9955,MATCH($A995,ESLData!$B$1:$B$9955,0)))</f>
        <v>Cyclical Maintenance Provision</v>
      </c>
    </row>
    <row r="996" spans="1:11" ht="14.25" customHeight="1" x14ac:dyDescent="0.2">
      <c r="A996" s="367" t="s">
        <v>1023</v>
      </c>
      <c r="C996" s="363"/>
      <c r="E996" s="363"/>
      <c r="G996" s="363"/>
      <c r="K996" s="368" t="str">
        <f>IF(ISNA(HLOOKUP("start",ESLData!C$1:C$9955,MATCH($A996,ESLData!$B$1:$B$9955,0))),"",HLOOKUP("start",ESLData!C$1:C$9955,MATCH($A996,ESLData!$B$1:$B$9955,0)))</f>
        <v/>
      </c>
    </row>
    <row r="997" spans="1:11" ht="14.25" customHeight="1" x14ac:dyDescent="0.2">
      <c r="A997" s="364">
        <v>9370</v>
      </c>
      <c r="C997" s="363">
        <f>HLOOKUP("start",ESLData!E$1:E$9955,MATCH($A997,ESLData!$B$1:$B$9955,0))</f>
        <v>2641661.39</v>
      </c>
      <c r="E997" s="363">
        <f>HLOOKUP("start",ESLData!F$1:F$9955,MATCH($A997,ESLData!$B$1:$B$9955,0))</f>
        <v>2595331</v>
      </c>
      <c r="F997" s="369">
        <f>ROUND(SUM(E997),0)</f>
        <v>2595331</v>
      </c>
      <c r="G997" s="363">
        <f>HLOOKUP("start",ESLData!H$1:H$9955,MATCH($A997,ESLData!$B$1:$B$9955,0))</f>
        <v>2464308.6800000002</v>
      </c>
      <c r="K997" s="368" t="str">
        <f>IF(ISNA(HLOOKUP("start",ESLData!C$1:C$9955,MATCH($A997,ESLData!$B$1:$B$9955,0))),"",HLOOKUP("start",ESLData!C$1:C$9955,MATCH($A997,ESLData!$B$1:$B$9955,0)))</f>
        <v>Fixed Assets</v>
      </c>
    </row>
    <row r="998" spans="1:11" ht="14.25" customHeight="1" x14ac:dyDescent="0.2">
      <c r="A998" s="364" t="s">
        <v>730</v>
      </c>
      <c r="C998" s="363">
        <f>HLOOKUP("start",ESLData!E$1:E$9955,MATCH($A998,ESLData!$B$1:$B$9955,0))</f>
        <v>0</v>
      </c>
      <c r="E998" s="363">
        <f>HLOOKUP("start",ESLData!F$1:F$9955,MATCH($A998,ESLData!$B$1:$B$9955,0))</f>
        <v>0</v>
      </c>
      <c r="G998" s="363">
        <f>HLOOKUP("start",ESLData!H$1:H$9955,MATCH($A998,ESLData!$B$1:$B$9955,0))</f>
        <v>0</v>
      </c>
      <c r="K998" s="368" t="str">
        <f>IF(ISNA(HLOOKUP("start",ESLData!C$1:C$9955,MATCH($A998,ESLData!$B$1:$B$9955,0))),"",HLOOKUP("start",ESLData!C$1:C$9955,MATCH($A998,ESLData!$B$1:$B$9955,0)))</f>
        <v>Disposal of Assets</v>
      </c>
    </row>
    <row r="999" spans="1:11" ht="14.25" customHeight="1" x14ac:dyDescent="0.2">
      <c r="A999" s="364" t="s">
        <v>235</v>
      </c>
      <c r="C999" s="363">
        <f>HLOOKUP("start",ESLData!E$1:E$9955,MATCH($A999,ESLData!$B$1:$B$9955,0))</f>
        <v>-8490.64</v>
      </c>
      <c r="E999" s="363">
        <f>HLOOKUP("start",ESLData!F$1:F$9955,MATCH($A999,ESLData!$B$1:$B$9955,0))</f>
        <v>0</v>
      </c>
      <c r="G999" s="363">
        <f>HLOOKUP("start",ESLData!H$1:H$9955,MATCH($A999,ESLData!$B$1:$B$9955,0))</f>
        <v>-6179.94</v>
      </c>
      <c r="K999" s="368" t="str">
        <f>IF(ISNA(HLOOKUP("start",ESLData!C$1:C$9955,MATCH($A999,ESLData!$B$1:$B$9955,0))),"",HLOOKUP("start",ESLData!C$1:C$9955,MATCH($A999,ESLData!$B$1:$B$9955,0)))</f>
        <v>Gain/(Loss) on Disposal</v>
      </c>
    </row>
    <row r="1000" spans="1:11" ht="14.25" customHeight="1" x14ac:dyDescent="0.2">
      <c r="A1000" s="364" t="s">
        <v>732</v>
      </c>
      <c r="C1000" s="363">
        <f>HLOOKUP("start",ESLData!E$1:E$9955,MATCH($A1000,ESLData!$B$1:$B$9955,0))</f>
        <v>4061.88</v>
      </c>
      <c r="E1000" s="363">
        <f>HLOOKUP("start",ESLData!F$1:F$9955,MATCH($A1000,ESLData!$B$1:$B$9955,0))</f>
        <v>5400</v>
      </c>
      <c r="G1000" s="363">
        <f>HLOOKUP("start",ESLData!H$1:H$9955,MATCH($A1000,ESLData!$B$1:$B$9955,0))</f>
        <v>8940.9</v>
      </c>
      <c r="K1000" s="368" t="str">
        <f>IF(ISNA(HLOOKUP("start",ESLData!C$1:C$9955,MATCH($A1000,ESLData!$B$1:$B$9955,0))),"",HLOOKUP("start",ESLData!C$1:C$9955,MATCH($A1000,ESLData!$B$1:$B$9955,0)))</f>
        <v>Pur FA - Nelson</v>
      </c>
    </row>
    <row r="1001" spans="1:11" ht="14.25" customHeight="1" x14ac:dyDescent="0.2">
      <c r="A1001" s="364" t="s">
        <v>733</v>
      </c>
      <c r="C1001" s="363">
        <f>HLOOKUP("start",ESLData!E$1:E$9955,MATCH($A1001,ESLData!$B$1:$B$9955,0))</f>
        <v>71258.210000000006</v>
      </c>
      <c r="E1001" s="363">
        <f>HLOOKUP("start",ESLData!F$1:F$9955,MATCH($A1001,ESLData!$B$1:$B$9955,0))</f>
        <v>74430</v>
      </c>
      <c r="G1001" s="363">
        <f>HLOOKUP("start",ESLData!H$1:H$9955,MATCH($A1001,ESLData!$B$1:$B$9955,0))</f>
        <v>32159.23</v>
      </c>
      <c r="K1001" s="368" t="str">
        <f>IF(ISNA(HLOOKUP("start",ESLData!C$1:C$9955,MATCH($A1001,ESLData!$B$1:$B$9955,0))),"",HLOOKUP("start",ESLData!C$1:C$9955,MATCH($A1001,ESLData!$B$1:$B$9955,0)))</f>
        <v>Pur FA - Administration</v>
      </c>
    </row>
    <row r="1002" spans="1:11" ht="14.25" customHeight="1" x14ac:dyDescent="0.2">
      <c r="A1002" s="364" t="s">
        <v>734</v>
      </c>
      <c r="C1002" s="363">
        <f>HLOOKUP("start",ESLData!E$1:E$9955,MATCH($A1002,ESLData!$B$1:$B$9955,0))</f>
        <v>2032.16</v>
      </c>
      <c r="E1002" s="363">
        <f>HLOOKUP("start",ESLData!F$1:F$9955,MATCH($A1002,ESLData!$B$1:$B$9955,0))</f>
        <v>2400</v>
      </c>
      <c r="G1002" s="363">
        <f>HLOOKUP("start",ESLData!H$1:H$9955,MATCH($A1002,ESLData!$B$1:$B$9955,0))</f>
        <v>5368.52</v>
      </c>
      <c r="K1002" s="368" t="str">
        <f>IF(ISNA(HLOOKUP("start",ESLData!C$1:C$9955,MATCH($A1002,ESLData!$B$1:$B$9955,0))),"",HLOOKUP("start",ESLData!C$1:C$9955,MATCH($A1002,ESLData!$B$1:$B$9955,0)))</f>
        <v>Pur FA - AVRC North-West</v>
      </c>
    </row>
    <row r="1003" spans="1:11" ht="14.25" customHeight="1" x14ac:dyDescent="0.2">
      <c r="A1003" s="364" t="s">
        <v>735</v>
      </c>
      <c r="C1003" s="363">
        <f>HLOOKUP("start",ESLData!E$1:E$9955,MATCH($A1003,ESLData!$B$1:$B$9955,0))</f>
        <v>2757.08</v>
      </c>
      <c r="E1003" s="363">
        <f>HLOOKUP("start",ESLData!F$1:F$9955,MATCH($A1003,ESLData!$B$1:$B$9955,0))</f>
        <v>1500</v>
      </c>
      <c r="G1003" s="363">
        <f>HLOOKUP("start",ESLData!H$1:H$9955,MATCH($A1003,ESLData!$B$1:$B$9955,0))</f>
        <v>7159.58</v>
      </c>
      <c r="K1003" s="368" t="str">
        <f>IF(ISNA(HLOOKUP("start",ESLData!C$1:C$9955,MATCH($A1003,ESLData!$B$1:$B$9955,0))),"",HLOOKUP("start",ESLData!C$1:C$9955,MATCH($A1003,ESLData!$B$1:$B$9955,0)))</f>
        <v>Pur FA - Christchurch</v>
      </c>
    </row>
    <row r="1004" spans="1:11" ht="14.25" customHeight="1" x14ac:dyDescent="0.2">
      <c r="A1004" s="364" t="s">
        <v>736</v>
      </c>
      <c r="C1004" s="363">
        <f>HLOOKUP("start",ESLData!E$1:E$9955,MATCH($A1004,ESLData!$B$1:$B$9955,0))</f>
        <v>14871.67</v>
      </c>
      <c r="E1004" s="363">
        <f>HLOOKUP("start",ESLData!F$1:F$9955,MATCH($A1004,ESLData!$B$1:$B$9955,0))</f>
        <v>13900</v>
      </c>
      <c r="G1004" s="363">
        <f>HLOOKUP("start",ESLData!H$1:H$9955,MATCH($A1004,ESLData!$B$1:$B$9955,0))</f>
        <v>9447.1299999999992</v>
      </c>
      <c r="K1004" s="368" t="str">
        <f>IF(ISNA(HLOOKUP("start",ESLData!C$1:C$9955,MATCH($A1004,ESLData!$B$1:$B$9955,0))),"",HLOOKUP("start",ESLData!C$1:C$9955,MATCH($A1004,ESLData!$B$1:$B$9955,0)))</f>
        <v>Pur FA - Core School</v>
      </c>
    </row>
    <row r="1005" spans="1:11" ht="14.25" customHeight="1" x14ac:dyDescent="0.2">
      <c r="A1005" s="364" t="s">
        <v>737</v>
      </c>
      <c r="C1005" s="363">
        <f>HLOOKUP("start",ESLData!E$1:E$9955,MATCH($A1005,ESLData!$B$1:$B$9955,0))</f>
        <v>2503.48</v>
      </c>
      <c r="E1005" s="363">
        <f>HLOOKUP("start",ESLData!F$1:F$9955,MATCH($A1005,ESLData!$B$1:$B$9955,0))</f>
        <v>3000</v>
      </c>
      <c r="G1005" s="363">
        <f>HLOOKUP("start",ESLData!H$1:H$9955,MATCH($A1005,ESLData!$B$1:$B$9955,0))</f>
        <v>5459.35</v>
      </c>
      <c r="K1005" s="368" t="str">
        <f>IF(ISNA(HLOOKUP("start",ESLData!C$1:C$9955,MATCH($A1005,ESLData!$B$1:$B$9955,0))),"",HLOOKUP("start",ESLData!C$1:C$9955,MATCH($A1005,ESLData!$B$1:$B$9955,0)))</f>
        <v>Pur FA - Gisborne VRC</v>
      </c>
    </row>
    <row r="1006" spans="1:11" ht="14.25" customHeight="1" x14ac:dyDescent="0.2">
      <c r="A1006" s="364" t="s">
        <v>738</v>
      </c>
      <c r="C1006" s="363">
        <f>HLOOKUP("start",ESLData!E$1:E$9955,MATCH($A1006,ESLData!$B$1:$B$9955,0))</f>
        <v>10628.8</v>
      </c>
      <c r="E1006" s="363">
        <f>HLOOKUP("start",ESLData!F$1:F$9955,MATCH($A1006,ESLData!$B$1:$B$9955,0))</f>
        <v>7100</v>
      </c>
      <c r="G1006" s="363">
        <f>HLOOKUP("start",ESLData!H$1:H$9955,MATCH($A1006,ESLData!$B$1:$B$9955,0))</f>
        <v>4492.6099999999997</v>
      </c>
      <c r="K1006" s="368" t="str">
        <f>IF(ISNA(HLOOKUP("start",ESLData!C$1:C$9955,MATCH($A1006,ESLData!$B$1:$B$9955,0))),"",HLOOKUP("start",ESLData!C$1:C$9955,MATCH($A1006,ESLData!$B$1:$B$9955,0)))</f>
        <v>Pur FA - Hamilton</v>
      </c>
    </row>
    <row r="1007" spans="1:11" ht="14.25" customHeight="1" x14ac:dyDescent="0.2">
      <c r="A1007" s="364" t="s">
        <v>739</v>
      </c>
      <c r="C1007" s="363">
        <f>HLOOKUP("start",ESLData!E$1:E$9955,MATCH($A1007,ESLData!$B$1:$B$9955,0))</f>
        <v>1461.63</v>
      </c>
      <c r="E1007" s="363">
        <f>HLOOKUP("start",ESLData!F$1:F$9955,MATCH($A1007,ESLData!$B$1:$B$9955,0))</f>
        <v>1500</v>
      </c>
      <c r="G1007" s="363">
        <f>HLOOKUP("start",ESLData!H$1:H$9955,MATCH($A1007,ESLData!$B$1:$B$9955,0))</f>
        <v>724</v>
      </c>
      <c r="K1007" s="368" t="str">
        <f>IF(ISNA(HLOOKUP("start",ESLData!C$1:C$9955,MATCH($A1007,ESLData!$B$1:$B$9955,0))),"",HLOOKUP("start",ESLData!C$1:C$9955,MATCH($A1007,ESLData!$B$1:$B$9955,0)))</f>
        <v>Pur FA - National Assessment</v>
      </c>
    </row>
    <row r="1008" spans="1:11" ht="14.25" customHeight="1" x14ac:dyDescent="0.2">
      <c r="A1008" s="364" t="s">
        <v>740</v>
      </c>
      <c r="C1008" s="363">
        <f>HLOOKUP("start",ESLData!E$1:E$9955,MATCH($A1008,ESLData!$B$1:$B$9955,0))</f>
        <v>1364.35</v>
      </c>
      <c r="E1008" s="363">
        <f>HLOOKUP("start",ESLData!F$1:F$9955,MATCH($A1008,ESLData!$B$1:$B$9955,0))</f>
        <v>16500</v>
      </c>
      <c r="G1008" s="363">
        <f>HLOOKUP("start",ESLData!H$1:H$9955,MATCH($A1008,ESLData!$B$1:$B$9955,0))</f>
        <v>2434.0700000000002</v>
      </c>
      <c r="K1008" s="368" t="str">
        <f>IF(ISNA(HLOOKUP("start",ESLData!C$1:C$9955,MATCH($A1008,ESLData!$B$1:$B$9955,0))),"",HLOOKUP("start",ESLData!C$1:C$9955,MATCH($A1008,ESLData!$B$1:$B$9955,0)))</f>
        <v>Pur FA - Otago</v>
      </c>
    </row>
    <row r="1009" spans="1:11" ht="14.25" customHeight="1" x14ac:dyDescent="0.2">
      <c r="A1009" s="364" t="s">
        <v>741</v>
      </c>
      <c r="C1009" s="363">
        <f>HLOOKUP("start",ESLData!E$1:E$9955,MATCH($A1009,ESLData!$B$1:$B$9955,0))</f>
        <v>0</v>
      </c>
      <c r="E1009" s="363">
        <f>HLOOKUP("start",ESLData!F$1:F$9955,MATCH($A1009,ESLData!$B$1:$B$9955,0))</f>
        <v>28000</v>
      </c>
      <c r="G1009" s="363">
        <f>HLOOKUP("start",ESLData!H$1:H$9955,MATCH($A1009,ESLData!$B$1:$B$9955,0))</f>
        <v>1190</v>
      </c>
      <c r="K1009" s="368" t="str">
        <f>IF(ISNA(HLOOKUP("start",ESLData!C$1:C$9955,MATCH($A1009,ESLData!$B$1:$B$9955,0))),"",HLOOKUP("start",ESLData!C$1:C$9955,MATCH($A1009,ESLData!$B$1:$B$9955,0)))</f>
        <v>Pur FA - Palmerston North</v>
      </c>
    </row>
    <row r="1010" spans="1:11" ht="14.25" customHeight="1" x14ac:dyDescent="0.2">
      <c r="A1010" s="364" t="s">
        <v>742</v>
      </c>
      <c r="C1010" s="363">
        <f>HLOOKUP("start",ESLData!E$1:E$9955,MATCH($A1010,ESLData!$B$1:$B$9955,0))</f>
        <v>0</v>
      </c>
      <c r="E1010" s="363">
        <f>HLOOKUP("start",ESLData!F$1:F$9955,MATCH($A1010,ESLData!$B$1:$B$9955,0))</f>
        <v>0</v>
      </c>
      <c r="G1010" s="363">
        <f>HLOOKUP("start",ESLData!H$1:H$9955,MATCH($A1010,ESLData!$B$1:$B$9955,0))</f>
        <v>217636</v>
      </c>
      <c r="K1010" s="368" t="str">
        <f>IF(ISNA(HLOOKUP("start",ESLData!C$1:C$9955,MATCH($A1010,ESLData!$B$1:$B$9955,0))),"",HLOOKUP("start",ESLData!C$1:C$9955,MATCH($A1010,ESLData!$B$1:$B$9955,0)))</f>
        <v>Pur FA - Playground</v>
      </c>
    </row>
    <row r="1011" spans="1:11" ht="14.25" customHeight="1" x14ac:dyDescent="0.2">
      <c r="A1011" s="364" t="s">
        <v>743</v>
      </c>
      <c r="C1011" s="363">
        <f>HLOOKUP("start",ESLData!E$1:E$9955,MATCH($A1011,ESLData!$B$1:$B$9955,0))</f>
        <v>0</v>
      </c>
      <c r="E1011" s="363">
        <f>HLOOKUP("start",ESLData!F$1:F$9955,MATCH($A1011,ESLData!$B$1:$B$9955,0))</f>
        <v>0</v>
      </c>
      <c r="G1011" s="363">
        <f>HLOOKUP("start",ESLData!H$1:H$9955,MATCH($A1011,ESLData!$B$1:$B$9955,0))</f>
        <v>0</v>
      </c>
      <c r="K1011" s="368" t="str">
        <f>IF(ISNA(HLOOKUP("start",ESLData!C$1:C$9955,MATCH($A1011,ESLData!$B$1:$B$9955,0))),"",HLOOKUP("start",ESLData!C$1:C$9955,MATCH($A1011,ESLData!$B$1:$B$9955,0)))</f>
        <v>Pur Fa - Prof Develop</v>
      </c>
    </row>
    <row r="1012" spans="1:11" ht="14.25" customHeight="1" x14ac:dyDescent="0.2">
      <c r="A1012" s="364" t="s">
        <v>745</v>
      </c>
      <c r="C1012" s="363">
        <f>HLOOKUP("start",ESLData!E$1:E$9955,MATCH($A1012,ESLData!$B$1:$B$9955,0))</f>
        <v>42455.360000000001</v>
      </c>
      <c r="E1012" s="363">
        <f>HLOOKUP("start",ESLData!F$1:F$9955,MATCH($A1012,ESLData!$B$1:$B$9955,0))</f>
        <v>27300</v>
      </c>
      <c r="G1012" s="363">
        <f>HLOOKUP("start",ESLData!H$1:H$9955,MATCH($A1012,ESLData!$B$1:$B$9955,0))</f>
        <v>1562.61</v>
      </c>
      <c r="K1012" s="368" t="str">
        <f>IF(ISNA(HLOOKUP("start",ESLData!C$1:C$9955,MATCH($A1012,ESLData!$B$1:$B$9955,0))),"",HLOOKUP("start",ESLData!C$1:C$9955,MATCH($A1012,ESLData!$B$1:$B$9955,0)))</f>
        <v>Pur FA - Residential</v>
      </c>
    </row>
    <row r="1013" spans="1:11" ht="14.25" customHeight="1" x14ac:dyDescent="0.2">
      <c r="A1013" s="364" t="s">
        <v>754</v>
      </c>
      <c r="C1013" s="363">
        <f>HLOOKUP("start",ESLData!E$1:E$9955,MATCH($A1013,ESLData!$B$1:$B$9955,0))</f>
        <v>2661.63</v>
      </c>
      <c r="E1013" s="363">
        <f>HLOOKUP("start",ESLData!F$1:F$9955,MATCH($A1013,ESLData!$B$1:$B$9955,0))</f>
        <v>5487</v>
      </c>
      <c r="G1013" s="363">
        <f>HLOOKUP("start",ESLData!H$1:H$9955,MATCH($A1013,ESLData!$B$1:$B$9955,0))</f>
        <v>1608.19</v>
      </c>
      <c r="K1013" s="368" t="str">
        <f>IF(ISNA(HLOOKUP("start",ESLData!C$1:C$9955,MATCH($A1013,ESLData!$B$1:$B$9955,0))),"",HLOOKUP("start",ESLData!C$1:C$9955,MATCH($A1013,ESLData!$B$1:$B$9955,0)))</f>
        <v>Pur FA - Southland</v>
      </c>
    </row>
    <row r="1014" spans="1:11" ht="14.25" customHeight="1" x14ac:dyDescent="0.2">
      <c r="A1014" s="364" t="s">
        <v>755</v>
      </c>
      <c r="C1014" s="363">
        <f>HLOOKUP("start",ESLData!E$1:E$9955,MATCH($A1014,ESLData!$B$1:$B$9955,0))</f>
        <v>570</v>
      </c>
      <c r="E1014" s="363">
        <f>HLOOKUP("start",ESLData!F$1:F$9955,MATCH($A1014,ESLData!$B$1:$B$9955,0))</f>
        <v>0</v>
      </c>
      <c r="G1014" s="363">
        <f>HLOOKUP("start",ESLData!H$1:H$9955,MATCH($A1014,ESLData!$B$1:$B$9955,0))</f>
        <v>5454.22</v>
      </c>
      <c r="K1014" s="368" t="str">
        <f>IF(ISNA(HLOOKUP("start",ESLData!C$1:C$9955,MATCH($A1014,ESLData!$B$1:$B$9955,0))),"",HLOOKUP("start",ESLData!C$1:C$9955,MATCH($A1014,ESLData!$B$1:$B$9955,0)))</f>
        <v>Pur FA - Taranaki</v>
      </c>
    </row>
    <row r="1015" spans="1:11" ht="14.25" customHeight="1" x14ac:dyDescent="0.2">
      <c r="A1015" s="364" t="s">
        <v>756</v>
      </c>
      <c r="C1015" s="363">
        <f>HLOOKUP("start",ESLData!E$1:E$9955,MATCH($A1015,ESLData!$B$1:$B$9955,0))</f>
        <v>5622.52</v>
      </c>
      <c r="E1015" s="363">
        <f>HLOOKUP("start",ESLData!F$1:F$9955,MATCH($A1015,ESLData!$B$1:$B$9955,0))</f>
        <v>8350</v>
      </c>
      <c r="G1015" s="363">
        <f>HLOOKUP("start",ESLData!H$1:H$9955,MATCH($A1015,ESLData!$B$1:$B$9955,0))</f>
        <v>47871.01</v>
      </c>
      <c r="K1015" s="368" t="str">
        <f>IF(ISNA(HLOOKUP("start",ESLData!C$1:C$9955,MATCH($A1015,ESLData!$B$1:$B$9955,0))),"",HLOOKUP("start",ESLData!C$1:C$9955,MATCH($A1015,ESLData!$B$1:$B$9955,0)))</f>
        <v>Pur FA - Tauranga</v>
      </c>
    </row>
    <row r="1016" spans="1:11" ht="14.25" customHeight="1" x14ac:dyDescent="0.2">
      <c r="A1016" s="364" t="s">
        <v>757</v>
      </c>
      <c r="C1016" s="363">
        <f>HLOOKUP("start",ESLData!E$1:E$9955,MATCH($A1016,ESLData!$B$1:$B$9955,0))</f>
        <v>16022.52</v>
      </c>
      <c r="E1016" s="363">
        <f>HLOOKUP("start",ESLData!F$1:F$9955,MATCH($A1016,ESLData!$B$1:$B$9955,0))</f>
        <v>29600</v>
      </c>
      <c r="G1016" s="363">
        <f>HLOOKUP("start",ESLData!H$1:H$9955,MATCH($A1016,ESLData!$B$1:$B$9955,0))</f>
        <v>4457</v>
      </c>
      <c r="K1016" s="368" t="str">
        <f>IF(ISNA(HLOOKUP("start",ESLData!C$1:C$9955,MATCH($A1016,ESLData!$B$1:$B$9955,0))),"",HLOOKUP("start",ESLData!C$1:C$9955,MATCH($A1016,ESLData!$B$1:$B$9955,0)))</f>
        <v>Pur FA - Wellington</v>
      </c>
    </row>
    <row r="1017" spans="1:11" ht="14.25" customHeight="1" x14ac:dyDescent="0.2">
      <c r="A1017" s="364" t="s">
        <v>758</v>
      </c>
      <c r="C1017" s="363">
        <f>HLOOKUP("start",ESLData!E$1:E$9955,MATCH($A1017,ESLData!$B$1:$B$9955,0))</f>
        <v>16119.53</v>
      </c>
      <c r="E1017" s="363">
        <f>HLOOKUP("start",ESLData!F$1:F$9955,MATCH($A1017,ESLData!$B$1:$B$9955,0))</f>
        <v>21548</v>
      </c>
      <c r="G1017" s="363">
        <f>HLOOKUP("start",ESLData!H$1:H$9955,MATCH($A1017,ESLData!$B$1:$B$9955,0))</f>
        <v>20461.23</v>
      </c>
      <c r="K1017" s="368" t="str">
        <f>IF(ISNA(HLOOKUP("start",ESLData!C$1:C$9955,MATCH($A1017,ESLData!$B$1:$B$9955,0))),"",HLOOKUP("start",ESLData!C$1:C$9955,MATCH($A1017,ESLData!$B$1:$B$9955,0)))</f>
        <v>Pur FA - A&amp;T Service</v>
      </c>
    </row>
    <row r="1018" spans="1:11" ht="14.25" customHeight="1" x14ac:dyDescent="0.2">
      <c r="A1018" s="364" t="s">
        <v>759</v>
      </c>
      <c r="C1018" s="363">
        <f>HLOOKUP("start",ESLData!E$1:E$9955,MATCH($A1018,ESLData!$B$1:$B$9955,0))</f>
        <v>10800.69</v>
      </c>
      <c r="E1018" s="363">
        <f>HLOOKUP("start",ESLData!F$1:F$9955,MATCH($A1018,ESLData!$B$1:$B$9955,0))</f>
        <v>10000</v>
      </c>
      <c r="G1018" s="363">
        <f>HLOOKUP("start",ESLData!H$1:H$9955,MATCH($A1018,ESLData!$B$1:$B$9955,0))</f>
        <v>-4424.2299999999996</v>
      </c>
      <c r="K1018" s="368" t="str">
        <f>IF(ISNA(HLOOKUP("start",ESLData!C$1:C$9955,MATCH($A1018,ESLData!$B$1:$B$9955,0))),"",HLOOKUP("start",ESLData!C$1:C$9955,MATCH($A1018,ESLData!$B$1:$B$9955,0)))</f>
        <v>Pur FA - DOM</v>
      </c>
    </row>
    <row r="1019" spans="1:11" ht="14.25" customHeight="1" x14ac:dyDescent="0.2">
      <c r="A1019" s="364" t="s">
        <v>760</v>
      </c>
      <c r="C1019" s="363">
        <f>HLOOKUP("start",ESLData!E$1:E$9955,MATCH($A1019,ESLData!$B$1:$B$9955,0))</f>
        <v>0</v>
      </c>
      <c r="E1019" s="363">
        <f>HLOOKUP("start",ESLData!F$1:F$9955,MATCH($A1019,ESLData!$B$1:$B$9955,0))</f>
        <v>0</v>
      </c>
      <c r="G1019" s="363">
        <f>HLOOKUP("start",ESLData!H$1:H$9955,MATCH($A1019,ESLData!$B$1:$B$9955,0))</f>
        <v>0</v>
      </c>
      <c r="K1019" s="368" t="str">
        <f>IF(ISNA(HLOOKUP("start",ESLData!C$1:C$9955,MATCH($A1019,ESLData!$B$1:$B$9955,0))),"",HLOOKUP("start",ESLData!C$1:C$9955,MATCH($A1019,ESLData!$B$1:$B$9955,0)))</f>
        <v>Purchases - Buildings</v>
      </c>
    </row>
    <row r="1020" spans="1:11" ht="14.25" customHeight="1" x14ac:dyDescent="0.2">
      <c r="A1020" s="364" t="s">
        <v>762</v>
      </c>
      <c r="C1020" s="363">
        <f>HLOOKUP("start",ESLData!E$1:E$9955,MATCH($A1020,ESLData!$B$1:$B$9955,0))</f>
        <v>0</v>
      </c>
      <c r="E1020" s="363">
        <f>HLOOKUP("start",ESLData!F$1:F$9955,MATCH($A1020,ESLData!$B$1:$B$9955,0))</f>
        <v>0</v>
      </c>
      <c r="G1020" s="363">
        <f>HLOOKUP("start",ESLData!H$1:H$9955,MATCH($A1020,ESLData!$B$1:$B$9955,0))</f>
        <v>0</v>
      </c>
      <c r="K1020" s="368" t="str">
        <f>IF(ISNA(HLOOKUP("start",ESLData!C$1:C$9955,MATCH($A1020,ESLData!$B$1:$B$9955,0))),"",HLOOKUP("start",ESLData!C$1:C$9955,MATCH($A1020,ESLData!$B$1:$B$9955,0)))</f>
        <v>New School Equipment</v>
      </c>
    </row>
    <row r="1021" spans="1:11" ht="14.25" customHeight="1" x14ac:dyDescent="0.2">
      <c r="A1021" s="364" t="s">
        <v>764</v>
      </c>
      <c r="C1021" s="363">
        <f>HLOOKUP("start",ESLData!E$1:E$9955,MATCH($A1021,ESLData!$B$1:$B$9955,0))</f>
        <v>890</v>
      </c>
      <c r="E1021" s="363">
        <f>HLOOKUP("start",ESLData!F$1:F$9955,MATCH($A1021,ESLData!$B$1:$B$9955,0))</f>
        <v>0</v>
      </c>
      <c r="G1021" s="363">
        <f>HLOOKUP("start",ESLData!H$1:H$9955,MATCH($A1021,ESLData!$B$1:$B$9955,0))</f>
        <v>1247.48</v>
      </c>
      <c r="K1021" s="368" t="str">
        <f>IF(ISNA(HLOOKUP("start",ESLData!C$1:C$9955,MATCH($A1021,ESLData!$B$1:$B$9955,0))),"",HLOOKUP("start",ESLData!C$1:C$9955,MATCH($A1021,ESLData!$B$1:$B$9955,0)))</f>
        <v>Pur FA - Immersion</v>
      </c>
    </row>
    <row r="1022" spans="1:11" ht="14.25" customHeight="1" x14ac:dyDescent="0.2">
      <c r="A1022" s="364" t="s">
        <v>765</v>
      </c>
      <c r="C1022" s="363">
        <f>HLOOKUP("start",ESLData!E$1:E$9955,MATCH($A1022,ESLData!$B$1:$B$9955,0))</f>
        <v>1461.63</v>
      </c>
      <c r="E1022" s="363">
        <f>HLOOKUP("start",ESLData!F$1:F$9955,MATCH($A1022,ESLData!$B$1:$B$9955,0))</f>
        <v>3000</v>
      </c>
      <c r="G1022" s="363">
        <f>HLOOKUP("start",ESLData!H$1:H$9955,MATCH($A1022,ESLData!$B$1:$B$9955,0))</f>
        <v>7379.35</v>
      </c>
      <c r="K1022" s="368" t="str">
        <f>IF(ISNA(HLOOKUP("start",ESLData!C$1:C$9955,MATCH($A1022,ESLData!$B$1:$B$9955,0))),"",HLOOKUP("start",ESLData!C$1:C$9955,MATCH($A1022,ESLData!$B$1:$B$9955,0)))</f>
        <v>Pur FA - Napier</v>
      </c>
    </row>
    <row r="1023" spans="1:11" ht="14.25" customHeight="1" x14ac:dyDescent="0.2">
      <c r="A1023" s="364" t="s">
        <v>236</v>
      </c>
      <c r="C1023" s="363">
        <f>HLOOKUP("start",ESLData!E$1:E$9955,MATCH($A1023,ESLData!$B$1:$B$9955,0))</f>
        <v>7845.66</v>
      </c>
      <c r="E1023" s="363">
        <f>HLOOKUP("start",ESLData!F$1:F$9955,MATCH($A1023,ESLData!$B$1:$B$9955,0))</f>
        <v>4800</v>
      </c>
      <c r="G1023" s="363">
        <f>HLOOKUP("start",ESLData!H$1:H$9955,MATCH($A1023,ESLData!$B$1:$B$9955,0))</f>
        <v>4364.33</v>
      </c>
      <c r="K1023" s="368" t="str">
        <f>IF(ISNA(HLOOKUP("start",ESLData!C$1:C$9955,MATCH($A1023,ESLData!$B$1:$B$9955,0))),"",HLOOKUP("start",ESLData!C$1:C$9955,MATCH($A1023,ESLData!$B$1:$B$9955,0)))</f>
        <v>Pur FA - AVRC South-East</v>
      </c>
    </row>
    <row r="1024" spans="1:11" ht="14.25" customHeight="1" x14ac:dyDescent="0.2">
      <c r="A1024" s="364" t="s">
        <v>237</v>
      </c>
      <c r="C1024" s="363">
        <f>HLOOKUP("start",ESLData!E$1:E$9955,MATCH($A1024,ESLData!$B$1:$B$9955,0))</f>
        <v>3268.03</v>
      </c>
      <c r="E1024" s="363">
        <f>HLOOKUP("start",ESLData!F$1:F$9955,MATCH($A1024,ESLData!$B$1:$B$9955,0))</f>
        <v>22755</v>
      </c>
      <c r="G1024" s="363">
        <f>HLOOKUP("start",ESLData!H$1:H$9955,MATCH($A1024,ESLData!$B$1:$B$9955,0))</f>
        <v>6349.11</v>
      </c>
      <c r="K1024" s="368" t="str">
        <f>IF(ISNA(HLOOKUP("start",ESLData!C$1:C$9955,MATCH($A1024,ESLData!$B$1:$B$9955,0))),"",HLOOKUP("start",ESLData!C$1:C$9955,MATCH($A1024,ESLData!$B$1:$B$9955,0)))</f>
        <v>F/A Pur - Northland</v>
      </c>
    </row>
    <row r="1025" spans="1:11" ht="14.25" customHeight="1" x14ac:dyDescent="0.2">
      <c r="A1025" s="364" t="s">
        <v>767</v>
      </c>
      <c r="C1025" s="363">
        <f>HLOOKUP("start",ESLData!E$1:E$9955,MATCH($A1025,ESLData!$B$1:$B$9955,0))</f>
        <v>0</v>
      </c>
      <c r="E1025" s="363">
        <f>HLOOKUP("start",ESLData!F$1:F$9955,MATCH($A1025,ESLData!$B$1:$B$9955,0))</f>
        <v>0</v>
      </c>
      <c r="G1025" s="363">
        <f>HLOOKUP("start",ESLData!H$1:H$9955,MATCH($A1025,ESLData!$B$1:$B$9955,0))</f>
        <v>0</v>
      </c>
      <c r="K1025" s="368" t="str">
        <f>IF(ISNA(HLOOKUP("start",ESLData!C$1:C$9955,MATCH($A1025,ESLData!$B$1:$B$9955,0))),"",HLOOKUP("start",ESLData!C$1:C$9955,MATCH($A1025,ESLData!$B$1:$B$9955,0)))</f>
        <v>Audio Visual</v>
      </c>
    </row>
    <row r="1026" spans="1:11" ht="14.25" customHeight="1" x14ac:dyDescent="0.2">
      <c r="A1026" s="364" t="s">
        <v>769</v>
      </c>
      <c r="C1026" s="363">
        <f>HLOOKUP("start",ESLData!E$1:E$9955,MATCH($A1026,ESLData!$B$1:$B$9955,0))</f>
        <v>0</v>
      </c>
      <c r="E1026" s="363">
        <f>HLOOKUP("start",ESLData!F$1:F$9955,MATCH($A1026,ESLData!$B$1:$B$9955,0))</f>
        <v>0</v>
      </c>
      <c r="G1026" s="363">
        <f>HLOOKUP("start",ESLData!H$1:H$9955,MATCH($A1026,ESLData!$B$1:$B$9955,0))</f>
        <v>0</v>
      </c>
      <c r="K1026" s="368" t="str">
        <f>IF(ISNA(HLOOKUP("start",ESLData!C$1:C$9955,MATCH($A1026,ESLData!$B$1:$B$9955,0))),"",HLOOKUP("start",ESLData!C$1:C$9955,MATCH($A1026,ESLData!$B$1:$B$9955,0)))</f>
        <v>Buildings</v>
      </c>
    </row>
    <row r="1027" spans="1:11" ht="14.25" customHeight="1" x14ac:dyDescent="0.2">
      <c r="A1027" s="364" t="s">
        <v>771</v>
      </c>
      <c r="C1027" s="363">
        <f>HLOOKUP("start",ESLData!E$1:E$9955,MATCH($A1027,ESLData!$B$1:$B$9955,0))</f>
        <v>0</v>
      </c>
      <c r="E1027" s="363">
        <f>HLOOKUP("start",ESLData!F$1:F$9955,MATCH($A1027,ESLData!$B$1:$B$9955,0))</f>
        <v>0</v>
      </c>
      <c r="G1027" s="363">
        <f>HLOOKUP("start",ESLData!H$1:H$9955,MATCH($A1027,ESLData!$B$1:$B$9955,0))</f>
        <v>0</v>
      </c>
      <c r="K1027" s="368" t="str">
        <f>IF(ISNA(HLOOKUP("start",ESLData!C$1:C$9955,MATCH($A1027,ESLData!$B$1:$B$9955,0))),"",HLOOKUP("start",ESLData!C$1:C$9955,MATCH($A1027,ESLData!$B$1:$B$9955,0)))</f>
        <v>Computer Equipment</v>
      </c>
    </row>
    <row r="1028" spans="1:11" ht="14.25" customHeight="1" x14ac:dyDescent="0.2">
      <c r="A1028" s="364" t="s">
        <v>773</v>
      </c>
      <c r="C1028" s="363">
        <f>HLOOKUP("start",ESLData!E$1:E$9955,MATCH($A1028,ESLData!$B$1:$B$9955,0))</f>
        <v>0</v>
      </c>
      <c r="E1028" s="363">
        <f>HLOOKUP("start",ESLData!F$1:F$9955,MATCH($A1028,ESLData!$B$1:$B$9955,0))</f>
        <v>0</v>
      </c>
      <c r="G1028" s="363">
        <f>HLOOKUP("start",ESLData!H$1:H$9955,MATCH($A1028,ESLData!$B$1:$B$9955,0))</f>
        <v>0</v>
      </c>
      <c r="K1028" s="368" t="str">
        <f>IF(ISNA(HLOOKUP("start",ESLData!C$1:C$9955,MATCH($A1028,ESLData!$B$1:$B$9955,0))),"",HLOOKUP("start",ESLData!C$1:C$9955,MATCH($A1028,ESLData!$B$1:$B$9955,0)))</f>
        <v>Furniture &amp; Fittings</v>
      </c>
    </row>
    <row r="1029" spans="1:11" ht="14.25" customHeight="1" x14ac:dyDescent="0.2">
      <c r="A1029" s="364" t="s">
        <v>775</v>
      </c>
      <c r="C1029" s="363">
        <f>HLOOKUP("start",ESLData!E$1:E$9955,MATCH($A1029,ESLData!$B$1:$B$9955,0))</f>
        <v>0</v>
      </c>
      <c r="E1029" s="363">
        <f>HLOOKUP("start",ESLData!F$1:F$9955,MATCH($A1029,ESLData!$B$1:$B$9955,0))</f>
        <v>0</v>
      </c>
      <c r="G1029" s="363">
        <f>HLOOKUP("start",ESLData!H$1:H$9955,MATCH($A1029,ESLData!$B$1:$B$9955,0))</f>
        <v>0</v>
      </c>
      <c r="K1029" s="368" t="str">
        <f>IF(ISNA(HLOOKUP("start",ESLData!C$1:C$9955,MATCH($A1029,ESLData!$B$1:$B$9955,0))),"",HLOOKUP("start",ESLData!C$1:C$9955,MATCH($A1029,ESLData!$B$1:$B$9955,0)))</f>
        <v>Leased Assets</v>
      </c>
    </row>
    <row r="1030" spans="1:11" ht="14.25" customHeight="1" x14ac:dyDescent="0.2">
      <c r="A1030" s="364" t="s">
        <v>776</v>
      </c>
      <c r="C1030" s="363">
        <f>HLOOKUP("start",ESLData!E$1:E$9955,MATCH($A1030,ESLData!$B$1:$B$9955,0))</f>
        <v>0</v>
      </c>
      <c r="E1030" s="363">
        <f>HLOOKUP("start",ESLData!F$1:F$9955,MATCH($A1030,ESLData!$B$1:$B$9955,0))</f>
        <v>0</v>
      </c>
      <c r="G1030" s="363">
        <f>HLOOKUP("start",ESLData!H$1:H$9955,MATCH($A1030,ESLData!$B$1:$B$9955,0))</f>
        <v>0</v>
      </c>
      <c r="K1030" s="368" t="str">
        <f>IF(ISNA(HLOOKUP("start",ESLData!C$1:C$9955,MATCH($A1030,ESLData!$B$1:$B$9955,0))),"",HLOOKUP("start",ESLData!C$1:C$9955,MATCH($A1030,ESLData!$B$1:$B$9955,0)))</f>
        <v>Motor Vehicles</v>
      </c>
    </row>
    <row r="1031" spans="1:11" ht="14.25" customHeight="1" x14ac:dyDescent="0.2">
      <c r="A1031" s="364" t="s">
        <v>777</v>
      </c>
      <c r="C1031" s="363">
        <f>HLOOKUP("start",ESLData!E$1:E$9955,MATCH($A1031,ESLData!$B$1:$B$9955,0))</f>
        <v>0</v>
      </c>
      <c r="E1031" s="363">
        <f>HLOOKUP("start",ESLData!F$1:F$9955,MATCH($A1031,ESLData!$B$1:$B$9955,0))</f>
        <v>0</v>
      </c>
      <c r="G1031" s="363">
        <f>HLOOKUP("start",ESLData!H$1:H$9955,MATCH($A1031,ESLData!$B$1:$B$9955,0))</f>
        <v>0</v>
      </c>
      <c r="K1031" s="368" t="str">
        <f>IF(ISNA(HLOOKUP("start",ESLData!C$1:C$9955,MATCH($A1031,ESLData!$B$1:$B$9955,0))),"",HLOOKUP("start",ESLData!C$1:C$9955,MATCH($A1031,ESLData!$B$1:$B$9955,0)))</f>
        <v>Musical Equipment</v>
      </c>
    </row>
    <row r="1032" spans="1:11" ht="14.25" customHeight="1" x14ac:dyDescent="0.2">
      <c r="A1032" s="364" t="s">
        <v>779</v>
      </c>
      <c r="C1032" s="363">
        <f>HLOOKUP("start",ESLData!E$1:E$9955,MATCH($A1032,ESLData!$B$1:$B$9955,0))</f>
        <v>0</v>
      </c>
      <c r="E1032" s="363">
        <f>HLOOKUP("start",ESLData!F$1:F$9955,MATCH($A1032,ESLData!$B$1:$B$9955,0))</f>
        <v>0</v>
      </c>
      <c r="G1032" s="363">
        <f>HLOOKUP("start",ESLData!H$1:H$9955,MATCH($A1032,ESLData!$B$1:$B$9955,0))</f>
        <v>0</v>
      </c>
      <c r="K1032" s="368" t="str">
        <f>IF(ISNA(HLOOKUP("start",ESLData!C$1:C$9955,MATCH($A1032,ESLData!$B$1:$B$9955,0))),"",HLOOKUP("start",ESLData!C$1:C$9955,MATCH($A1032,ESLData!$B$1:$B$9955,0)))</f>
        <v>Office Equipment</v>
      </c>
    </row>
    <row r="1033" spans="1:11" ht="14.25" customHeight="1" x14ac:dyDescent="0.2">
      <c r="A1033" s="364" t="s">
        <v>781</v>
      </c>
      <c r="C1033" s="363">
        <f>HLOOKUP("start",ESLData!E$1:E$9955,MATCH($A1033,ESLData!$B$1:$B$9955,0))</f>
        <v>0</v>
      </c>
      <c r="E1033" s="363">
        <f>HLOOKUP("start",ESLData!F$1:F$9955,MATCH($A1033,ESLData!$B$1:$B$9955,0))</f>
        <v>0</v>
      </c>
      <c r="G1033" s="363">
        <f>HLOOKUP("start",ESLData!H$1:H$9955,MATCH($A1033,ESLData!$B$1:$B$9955,0))</f>
        <v>0</v>
      </c>
      <c r="K1033" s="368" t="str">
        <f>IF(ISNA(HLOOKUP("start",ESLData!C$1:C$9955,MATCH($A1033,ESLData!$B$1:$B$9955,0))),"",HLOOKUP("start",ESLData!C$1:C$9955,MATCH($A1033,ESLData!$B$1:$B$9955,0)))</f>
        <v>Other Equipment</v>
      </c>
    </row>
    <row r="1034" spans="1:11" ht="14.25" customHeight="1" x14ac:dyDescent="0.2">
      <c r="A1034" s="364" t="s">
        <v>783</v>
      </c>
      <c r="C1034" s="363">
        <f>HLOOKUP("start",ESLData!E$1:E$9955,MATCH($A1034,ESLData!$B$1:$B$9955,0))</f>
        <v>255886.27</v>
      </c>
      <c r="E1034" s="363">
        <f>HLOOKUP("start",ESLData!F$1:F$9955,MATCH($A1034,ESLData!$B$1:$B$9955,0))</f>
        <v>3048100</v>
      </c>
      <c r="G1034" s="363">
        <f>HLOOKUP("start",ESLData!H$1:H$9955,MATCH($A1034,ESLData!$B$1:$B$9955,0))</f>
        <v>123853.84</v>
      </c>
      <c r="K1034" s="368" t="str">
        <f>IF(ISNA(HLOOKUP("start",ESLData!C$1:C$9955,MATCH($A1034,ESLData!$B$1:$B$9955,0))),"",HLOOKUP("start",ESLData!C$1:C$9955,MATCH($A1034,ESLData!$B$1:$B$9955,0)))</f>
        <v>Plant &amp; Machinery</v>
      </c>
    </row>
    <row r="1035" spans="1:11" ht="14.25" customHeight="1" x14ac:dyDescent="0.2">
      <c r="A1035" s="364" t="s">
        <v>785</v>
      </c>
      <c r="C1035" s="363">
        <f>HLOOKUP("start",ESLData!E$1:E$9955,MATCH($A1035,ESLData!$B$1:$B$9955,0))</f>
        <v>0</v>
      </c>
      <c r="E1035" s="363">
        <f>HLOOKUP("start",ESLData!F$1:F$9955,MATCH($A1035,ESLData!$B$1:$B$9955,0))</f>
        <v>0</v>
      </c>
      <c r="G1035" s="363">
        <f>HLOOKUP("start",ESLData!H$1:H$9955,MATCH($A1035,ESLData!$B$1:$B$9955,0))</f>
        <v>0</v>
      </c>
      <c r="K1035" s="368" t="str">
        <f>IF(ISNA(HLOOKUP("start",ESLData!C$1:C$9955,MATCH($A1035,ESLData!$B$1:$B$9955,0))),"",HLOOKUP("start",ESLData!C$1:C$9955,MATCH($A1035,ESLData!$B$1:$B$9955,0)))</f>
        <v>Special Ed. Equip. Grant Asset</v>
      </c>
    </row>
    <row r="1036" spans="1:11" ht="14.25" customHeight="1" x14ac:dyDescent="0.2">
      <c r="A1036" s="364" t="s">
        <v>787</v>
      </c>
      <c r="C1036" s="363">
        <f>HLOOKUP("start",ESLData!E$1:E$9955,MATCH($A1036,ESLData!$B$1:$B$9955,0))</f>
        <v>0</v>
      </c>
      <c r="E1036" s="363">
        <f>HLOOKUP("start",ESLData!F$1:F$9955,MATCH($A1036,ESLData!$B$1:$B$9955,0))</f>
        <v>0</v>
      </c>
      <c r="G1036" s="363">
        <f>HLOOKUP("start",ESLData!H$1:H$9955,MATCH($A1036,ESLData!$B$1:$B$9955,0))</f>
        <v>0</v>
      </c>
      <c r="K1036" s="368" t="str">
        <f>IF(ISNA(HLOOKUP("start",ESLData!C$1:C$9955,MATCH($A1036,ESLData!$B$1:$B$9955,0))),"",HLOOKUP("start",ESLData!C$1:C$9955,MATCH($A1036,ESLData!$B$1:$B$9955,0)))</f>
        <v>Sports Equipment</v>
      </c>
    </row>
    <row r="1037" spans="1:11" ht="14.25" customHeight="1" x14ac:dyDescent="0.2">
      <c r="A1037" s="364" t="s">
        <v>1173</v>
      </c>
      <c r="C1037" s="363">
        <f>HLOOKUP("start",ESLData!E$1:E$9955,MATCH($A1037,ESLData!$B$1:$B$9955,0))</f>
        <v>0</v>
      </c>
      <c r="E1037" s="363">
        <f>HLOOKUP("start",ESLData!F$1:F$9955,MATCH($A1037,ESLData!$B$1:$B$9955,0))</f>
        <v>0</v>
      </c>
      <c r="G1037" s="363">
        <f>HLOOKUP("start",ESLData!H$1:H$9955,MATCH($A1037,ESLData!$B$1:$B$9955,0))</f>
        <v>0</v>
      </c>
      <c r="K1037" s="368" t="str">
        <f>IF(ISNA(HLOOKUP("start",ESLData!C$1:C$9955,MATCH($A1037,ESLData!$B$1:$B$9955,0))),"",HLOOKUP("start",ESLData!C$1:C$9955,MATCH($A1037,ESLData!$B$1:$B$9955,0)))</f>
        <v>Leased Assets</v>
      </c>
    </row>
    <row r="1038" spans="1:11" ht="14.25" customHeight="1" x14ac:dyDescent="0.2">
      <c r="A1038" s="364" t="s">
        <v>1174</v>
      </c>
      <c r="C1038" s="363">
        <f>HLOOKUP("start",ESLData!E$1:E$9955,MATCH($A1038,ESLData!$B$1:$B$9955,0))</f>
        <v>81827.53</v>
      </c>
      <c r="E1038" s="363">
        <f>HLOOKUP("start",ESLData!F$1:F$9955,MATCH($A1038,ESLData!$B$1:$B$9955,0))</f>
        <v>0</v>
      </c>
      <c r="G1038" s="363">
        <f>HLOOKUP("start",ESLData!H$1:H$9955,MATCH($A1038,ESLData!$B$1:$B$9955,0))</f>
        <v>43497.53</v>
      </c>
      <c r="K1038" s="368" t="str">
        <f>IF(ISNA(HLOOKUP("start",ESLData!C$1:C$9955,MATCH($A1038,ESLData!$B$1:$B$9955,0))),"",HLOOKUP("start",ESLData!C$1:C$9955,MATCH($A1038,ESLData!$B$1:$B$9955,0)))</f>
        <v>TRL Lease asset</v>
      </c>
    </row>
    <row r="1039" spans="1:11" ht="14.25" customHeight="1" x14ac:dyDescent="0.2">
      <c r="A1039" s="364" t="s">
        <v>789</v>
      </c>
      <c r="C1039" s="363">
        <f>HLOOKUP("start",ESLData!E$1:E$9955,MATCH($A1039,ESLData!$B$1:$B$9955,0))</f>
        <v>0</v>
      </c>
      <c r="E1039" s="363">
        <f>HLOOKUP("start",ESLData!F$1:F$9955,MATCH($A1039,ESLData!$B$1:$B$9955,0))</f>
        <v>0</v>
      </c>
      <c r="F1039" s="369">
        <f>ROUND(SUM(E998:E1039),0)</f>
        <v>3334670</v>
      </c>
      <c r="G1039" s="363">
        <f>HLOOKUP("start",ESLData!H$1:H$9955,MATCH($A1039,ESLData!$B$1:$B$9955,0))</f>
        <v>20748.75</v>
      </c>
      <c r="K1039" s="368" t="str">
        <f>IF(ISNA(HLOOKUP("start",ESLData!C$1:C$9955,MATCH($A1039,ESLData!$B$1:$B$9955,0))),"",HLOOKUP("start",ESLData!C$1:C$9955,MATCH($A1039,ESLData!$B$1:$B$9955,0)))</f>
        <v>Pur FA - Donations</v>
      </c>
    </row>
    <row r="1040" spans="1:11" ht="14.25" customHeight="1" x14ac:dyDescent="0.2">
      <c r="A1040" s="364" t="s">
        <v>790</v>
      </c>
      <c r="C1040" s="363">
        <f>HLOOKUP("start",ESLData!E$1:E$9955,MATCH($A1040,ESLData!$B$1:$B$9955,0))</f>
        <v>-443582.45</v>
      </c>
      <c r="D1040" s="369">
        <f>ROUND(SUM(C997:C1040),0)</f>
        <v>2745959</v>
      </c>
      <c r="E1040" s="363">
        <f>HLOOKUP("start",ESLData!F$1:F$9955,MATCH($A1040,ESLData!$B$1:$B$9955,0))</f>
        <v>0</v>
      </c>
      <c r="F1040" s="369">
        <f>ROUND(SUM(E997:E1040),0)</f>
        <v>5930001</v>
      </c>
      <c r="G1040" s="363">
        <f>HLOOKUP("start",ESLData!H$1:H$9955,MATCH($A1040,ESLData!$B$1:$B$9955,0))</f>
        <v>-395909.16</v>
      </c>
      <c r="H1040" s="369">
        <f>ROUND(SUM(G997:G1040),0)</f>
        <v>2641661</v>
      </c>
      <c r="K1040" s="368" t="str">
        <f>IF(ISNA(HLOOKUP("start",ESLData!C$1:C$9955,MATCH($A1040,ESLData!$B$1:$B$9955,0))),"",HLOOKUP("start",ESLData!C$1:C$9955,MATCH($A1040,ESLData!$B$1:$B$9955,0)))</f>
        <v>Depreciation</v>
      </c>
    </row>
    <row r="1041" spans="1:11" ht="14.25" customHeight="1" x14ac:dyDescent="0.2">
      <c r="A1041" s="367" t="s">
        <v>1024</v>
      </c>
      <c r="C1041" s="363"/>
      <c r="E1041" s="363"/>
      <c r="G1041" s="363"/>
      <c r="K1041" s="368" t="str">
        <f>IF(ISNA(HLOOKUP("start",ESLData!C$1:C$9955,MATCH($A1041,ESLData!$B$1:$B$9955,0))),"",HLOOKUP("start",ESLData!C$1:C$9955,MATCH($A1041,ESLData!$B$1:$B$9955,0)))</f>
        <v/>
      </c>
    </row>
    <row r="1042" spans="1:11" ht="14.25" customHeight="1" x14ac:dyDescent="0.2">
      <c r="A1042" s="364">
        <v>9700</v>
      </c>
      <c r="C1042" s="363">
        <f>HLOOKUP("start",ESLData!E$1:E$9955,MATCH($A1042,ESLData!$B$1:$B$9955,0))*-1</f>
        <v>0</v>
      </c>
      <c r="E1042" s="363">
        <f>HLOOKUP("start",ESLData!F$1:F$9955,MATCH($A1042,ESLData!$B$1:$B$9955,0))*-1</f>
        <v>0</v>
      </c>
      <c r="G1042" s="363">
        <f>HLOOKUP("start",ESLData!H$1:H$9955,MATCH($A1042,ESLData!$B$1:$B$9955,0))*-1</f>
        <v>0</v>
      </c>
      <c r="K1042" s="368" t="str">
        <f>IF(ISNA(HLOOKUP("start",ESLData!C$1:C$9955,MATCH($A1042,ESLData!$B$1:$B$9955,0))),"",HLOOKUP("start",ESLData!C$1:C$9955,MATCH($A1042,ESLData!$B$1:$B$9955,0)))</f>
        <v>* Homai Special Funds</v>
      </c>
    </row>
    <row r="1043" spans="1:11" ht="14.25" customHeight="1" x14ac:dyDescent="0.2">
      <c r="A1043" s="364">
        <v>9701</v>
      </c>
      <c r="C1043" s="363">
        <f>HLOOKUP("start",ESLData!E$1:E$9955,MATCH($A1043,ESLData!$B$1:$B$9955,0))*-1</f>
        <v>1034</v>
      </c>
      <c r="E1043" s="363">
        <f>HLOOKUP("start",ESLData!F$1:F$9955,MATCH($A1043,ESLData!$B$1:$B$9955,0))*-1</f>
        <v>0</v>
      </c>
      <c r="G1043" s="363">
        <f>HLOOKUP("start",ESLData!H$1:H$9955,MATCH($A1043,ESLData!$B$1:$B$9955,0))*-1</f>
        <v>1034</v>
      </c>
      <c r="K1043" s="368" t="str">
        <f>IF(ISNA(HLOOKUP("start",ESLData!C$1:C$9955,MATCH($A1043,ESLData!$B$1:$B$9955,0))),"",HLOOKUP("start",ESLData!C$1:C$9955,MATCH($A1043,ESLData!$B$1:$B$9955,0)))</f>
        <v>HSF: AVRC</v>
      </c>
    </row>
    <row r="1044" spans="1:11" ht="14.25" customHeight="1" x14ac:dyDescent="0.2">
      <c r="A1044" s="364">
        <v>9702</v>
      </c>
      <c r="C1044" s="363">
        <f>HLOOKUP("start",ESLData!E$1:E$9955,MATCH($A1044,ESLData!$B$1:$B$9955,0))*-1</f>
        <v>9086.9500000000007</v>
      </c>
      <c r="E1044" s="363">
        <f>HLOOKUP("start",ESLData!F$1:F$9955,MATCH($A1044,ESLData!$B$1:$B$9955,0))*-1</f>
        <v>0</v>
      </c>
      <c r="G1044" s="363">
        <f>HLOOKUP("start",ESLData!H$1:H$9955,MATCH($A1044,ESLData!$B$1:$B$9955,0))*-1</f>
        <v>10391.299999999999</v>
      </c>
      <c r="K1044" s="368" t="str">
        <f>IF(ISNA(HLOOKUP("start",ESLData!C$1:C$9955,MATCH($A1044,ESLData!$B$1:$B$9955,0))),"",HLOOKUP("start",ESLData!C$1:C$9955,MATCH($A1044,ESLData!$B$1:$B$9955,0)))</f>
        <v>HSF: Blundell Award</v>
      </c>
    </row>
    <row r="1045" spans="1:11" ht="14.25" customHeight="1" x14ac:dyDescent="0.2">
      <c r="A1045" s="364">
        <v>9703</v>
      </c>
      <c r="C1045" s="363">
        <f>HLOOKUP("start",ESLData!E$1:E$9955,MATCH($A1045,ESLData!$B$1:$B$9955,0))*-1</f>
        <v>3213</v>
      </c>
      <c r="E1045" s="363">
        <f>HLOOKUP("start",ESLData!F$1:F$9955,MATCH($A1045,ESLData!$B$1:$B$9955,0))*-1</f>
        <v>0</v>
      </c>
      <c r="G1045" s="363">
        <f>HLOOKUP("start",ESLData!H$1:H$9955,MATCH($A1045,ESLData!$B$1:$B$9955,0))*-1</f>
        <v>3213</v>
      </c>
      <c r="K1045" s="368" t="str">
        <f>IF(ISNA(HLOOKUP("start",ESLData!C$1:C$9955,MATCH($A1045,ESLData!$B$1:$B$9955,0))),"",HLOOKUP("start",ESLData!C$1:C$9955,MATCH($A1045,ESLData!$B$1:$B$9955,0)))</f>
        <v>HSF: Chapel</v>
      </c>
    </row>
    <row r="1046" spans="1:11" ht="14.25" customHeight="1" x14ac:dyDescent="0.2">
      <c r="A1046" s="364">
        <v>9704</v>
      </c>
      <c r="C1046" s="363">
        <f>HLOOKUP("start",ESLData!E$1:E$9955,MATCH($A1046,ESLData!$B$1:$B$9955,0))*-1</f>
        <v>48500.959999999999</v>
      </c>
      <c r="E1046" s="363">
        <f>HLOOKUP("start",ESLData!F$1:F$9955,MATCH($A1046,ESLData!$B$1:$B$9955,0))*-1</f>
        <v>0</v>
      </c>
      <c r="G1046" s="363">
        <f>HLOOKUP("start",ESLData!H$1:H$9955,MATCH($A1046,ESLData!$B$1:$B$9955,0))*-1</f>
        <v>48500.959999999999</v>
      </c>
      <c r="K1046" s="368" t="str">
        <f>IF(ISNA(HLOOKUP("start",ESLData!C$1:C$9955,MATCH($A1046,ESLData!$B$1:$B$9955,0))),"",HLOOKUP("start",ESLData!C$1:C$9955,MATCH($A1046,ESLData!$B$1:$B$9955,0)))</f>
        <v>HSF: Doherty Fund</v>
      </c>
    </row>
    <row r="1047" spans="1:11" ht="14.25" customHeight="1" x14ac:dyDescent="0.2">
      <c r="A1047" s="364">
        <v>9705</v>
      </c>
      <c r="C1047" s="363">
        <f>HLOOKUP("start",ESLData!E$1:E$9955,MATCH($A1047,ESLData!$B$1:$B$9955,0))*-1</f>
        <v>89316</v>
      </c>
      <c r="E1047" s="363">
        <f>HLOOKUP("start",ESLData!F$1:F$9955,MATCH($A1047,ESLData!$B$1:$B$9955,0))*-1</f>
        <v>0</v>
      </c>
      <c r="G1047" s="363">
        <f>HLOOKUP("start",ESLData!H$1:H$9955,MATCH($A1047,ESLData!$B$1:$B$9955,0))*-1</f>
        <v>89316</v>
      </c>
      <c r="K1047" s="368" t="str">
        <f>IF(ISNA(HLOOKUP("start",ESLData!C$1:C$9955,MATCH($A1047,ESLData!$B$1:$B$9955,0))),"",HLOOKUP("start",ESLData!C$1:C$9955,MATCH($A1047,ESLData!$B$1:$B$9955,0)))</f>
        <v>HSF: General</v>
      </c>
    </row>
    <row r="1048" spans="1:11" ht="14.25" customHeight="1" x14ac:dyDescent="0.2">
      <c r="A1048" s="364">
        <v>9706</v>
      </c>
      <c r="C1048" s="363">
        <f>HLOOKUP("start",ESLData!E$1:E$9955,MATCH($A1048,ESLData!$B$1:$B$9955,0))*-1</f>
        <v>29477.48</v>
      </c>
      <c r="E1048" s="363">
        <f>HLOOKUP("start",ESLData!F$1:F$9955,MATCH($A1048,ESLData!$B$1:$B$9955,0))*-1</f>
        <v>0</v>
      </c>
      <c r="G1048" s="363">
        <f>HLOOKUP("start",ESLData!H$1:H$9955,MATCH($A1048,ESLData!$B$1:$B$9955,0))*-1</f>
        <v>29477.48</v>
      </c>
      <c r="K1048" s="368" t="str">
        <f>IF(ISNA(HLOOKUP("start",ESLData!C$1:C$9955,MATCH($A1048,ESLData!$B$1:$B$9955,0))),"",HLOOKUP("start",ESLData!C$1:C$9955,MATCH($A1048,ESLData!$B$1:$B$9955,0)))</f>
        <v>HSF: Gurr Trust</v>
      </c>
    </row>
    <row r="1049" spans="1:11" ht="14.25" customHeight="1" x14ac:dyDescent="0.2">
      <c r="A1049" s="364">
        <v>9707</v>
      </c>
      <c r="C1049" s="363">
        <f>HLOOKUP("start",ESLData!E$1:E$9955,MATCH($A1049,ESLData!$B$1:$B$9955,0))*-1</f>
        <v>548</v>
      </c>
      <c r="E1049" s="363">
        <f>HLOOKUP("start",ESLData!F$1:F$9955,MATCH($A1049,ESLData!$B$1:$B$9955,0))*-1</f>
        <v>0</v>
      </c>
      <c r="G1049" s="363">
        <f>HLOOKUP("start",ESLData!H$1:H$9955,MATCH($A1049,ESLData!$B$1:$B$9955,0))*-1</f>
        <v>548</v>
      </c>
      <c r="K1049" s="368" t="str">
        <f>IF(ISNA(HLOOKUP("start",ESLData!C$1:C$9955,MATCH($A1049,ESLData!$B$1:$B$9955,0))),"",HLOOKUP("start",ESLData!C$1:C$9955,MATCH($A1049,ESLData!$B$1:$B$9955,0)))</f>
        <v>HSF: Kickstart</v>
      </c>
    </row>
    <row r="1050" spans="1:11" ht="14.25" customHeight="1" x14ac:dyDescent="0.2">
      <c r="A1050" s="364">
        <v>9708</v>
      </c>
      <c r="C1050" s="363">
        <f>HLOOKUP("start",ESLData!E$1:E$9955,MATCH($A1050,ESLData!$B$1:$B$9955,0))*-1</f>
        <v>4513</v>
      </c>
      <c r="E1050" s="363">
        <f>HLOOKUP("start",ESLData!F$1:F$9955,MATCH($A1050,ESLData!$B$1:$B$9955,0))*-1</f>
        <v>0</v>
      </c>
      <c r="G1050" s="363">
        <f>HLOOKUP("start",ESLData!H$1:H$9955,MATCH($A1050,ESLData!$B$1:$B$9955,0))*-1</f>
        <v>4513</v>
      </c>
      <c r="K1050" s="368" t="str">
        <f>IF(ISNA(HLOOKUP("start",ESLData!C$1:C$9955,MATCH($A1050,ESLData!$B$1:$B$9955,0))),"",HLOOKUP("start",ESLData!C$1:C$9955,MATCH($A1050,ESLData!$B$1:$B$9955,0)))</f>
        <v>HSF: Koru/Mccahon</v>
      </c>
    </row>
    <row r="1051" spans="1:11" ht="14.25" customHeight="1" x14ac:dyDescent="0.2">
      <c r="A1051" s="364">
        <v>9709</v>
      </c>
      <c r="C1051" s="363">
        <f>HLOOKUP("start",ESLData!E$1:E$9955,MATCH($A1051,ESLData!$B$1:$B$9955,0))*-1</f>
        <v>0</v>
      </c>
      <c r="E1051" s="363">
        <f>HLOOKUP("start",ESLData!F$1:F$9955,MATCH($A1051,ESLData!$B$1:$B$9955,0))*-1</f>
        <v>0</v>
      </c>
      <c r="G1051" s="363">
        <f>HLOOKUP("start",ESLData!H$1:H$9955,MATCH($A1051,ESLData!$B$1:$B$9955,0))*-1</f>
        <v>0</v>
      </c>
      <c r="K1051" s="368" t="str">
        <f>IF(ISNA(HLOOKUP("start",ESLData!C$1:C$9955,MATCH($A1051,ESLData!$B$1:$B$9955,0))),"",HLOOKUP("start",ESLData!C$1:C$9955,MATCH($A1051,ESLData!$B$1:$B$9955,0)))</f>
        <v>HSF: Music</v>
      </c>
    </row>
    <row r="1052" spans="1:11" ht="14.25" customHeight="1" x14ac:dyDescent="0.2">
      <c r="A1052" s="364">
        <v>9710</v>
      </c>
      <c r="C1052" s="363">
        <f>HLOOKUP("start",ESLData!E$1:E$9955,MATCH($A1052,ESLData!$B$1:$B$9955,0))*-1</f>
        <v>2951</v>
      </c>
      <c r="E1052" s="363">
        <f>HLOOKUP("start",ESLData!F$1:F$9955,MATCH($A1052,ESLData!$B$1:$B$9955,0))*-1</f>
        <v>0</v>
      </c>
      <c r="G1052" s="363">
        <f>HLOOKUP("start",ESLData!H$1:H$9955,MATCH($A1052,ESLData!$B$1:$B$9955,0))*-1</f>
        <v>2951</v>
      </c>
      <c r="K1052" s="368" t="str">
        <f>IF(ISNA(HLOOKUP("start",ESLData!C$1:C$9955,MATCH($A1052,ESLData!$B$1:$B$9955,0))),"",HLOOKUP("start",ESLData!C$1:C$9955,MATCH($A1052,ESLData!$B$1:$B$9955,0)))</f>
        <v>HSF: Research</v>
      </c>
    </row>
    <row r="1053" spans="1:11" ht="14.25" customHeight="1" x14ac:dyDescent="0.2">
      <c r="A1053" s="364">
        <v>9711</v>
      </c>
      <c r="C1053" s="363">
        <f>HLOOKUP("start",ESLData!E$1:E$9955,MATCH($A1053,ESLData!$B$1:$B$9955,0))*-1</f>
        <v>11422</v>
      </c>
      <c r="E1053" s="363">
        <f>HLOOKUP("start",ESLData!F$1:F$9955,MATCH($A1053,ESLData!$B$1:$B$9955,0))*-1</f>
        <v>0</v>
      </c>
      <c r="G1053" s="363">
        <f>HLOOKUP("start",ESLData!H$1:H$9955,MATCH($A1053,ESLData!$B$1:$B$9955,0))*-1</f>
        <v>11422</v>
      </c>
      <c r="K1053" s="368" t="str">
        <f>IF(ISNA(HLOOKUP("start",ESLData!C$1:C$9955,MATCH($A1053,ESLData!$B$1:$B$9955,0))),"",HLOOKUP("start",ESLData!C$1:C$9955,MATCH($A1053,ESLData!$B$1:$B$9955,0)))</f>
        <v>HSF: Resource Rooms</v>
      </c>
    </row>
    <row r="1054" spans="1:11" ht="14.25" customHeight="1" x14ac:dyDescent="0.2">
      <c r="A1054" s="364">
        <v>9712</v>
      </c>
      <c r="C1054" s="363">
        <f>HLOOKUP("start",ESLData!E$1:E$9955,MATCH($A1054,ESLData!$B$1:$B$9955,0))*-1</f>
        <v>6661</v>
      </c>
      <c r="D1054" s="369">
        <f>ROUND(SUM(C1042:C1054),0)</f>
        <v>206723</v>
      </c>
      <c r="E1054" s="363">
        <f>HLOOKUP("start",ESLData!F$1:F$9955,MATCH($A1054,ESLData!$B$1:$B$9955,0))*-1</f>
        <v>0</v>
      </c>
      <c r="G1054" s="363">
        <f>HLOOKUP("start",ESLData!H$1:H$9955,MATCH($A1054,ESLData!$B$1:$B$9955,0))*-1</f>
        <v>6661</v>
      </c>
      <c r="H1054" s="369">
        <f>ROUND(SUM(G1042:G1054),0)</f>
        <v>208028</v>
      </c>
      <c r="K1054" s="368" t="str">
        <f>IF(ISNA(HLOOKUP("start",ESLData!C$1:C$9955,MATCH($A1054,ESLData!$B$1:$B$9955,0))),"",HLOOKUP("start",ESLData!C$1:C$9955,MATCH($A1054,ESLData!$B$1:$B$9955,0)))</f>
        <v>HSF: SPort &amp; Recreation</v>
      </c>
    </row>
    <row r="1055" spans="1:11" ht="14.25" customHeight="1" x14ac:dyDescent="0.2">
      <c r="A1055" s="367" t="s">
        <v>1355</v>
      </c>
    </row>
    <row r="1056" spans="1:11" ht="14.25" customHeight="1" x14ac:dyDescent="0.2">
      <c r="A1056" s="176">
        <v>9331</v>
      </c>
      <c r="C1056" s="363">
        <f>HLOOKUP("start",ESLData!E$1:E$9955,MATCH($A1056,ESLData!$B$1:$B$9955,0))*-1</f>
        <v>17963.759999999998</v>
      </c>
      <c r="D1056" s="369"/>
      <c r="E1056" s="363">
        <f>HLOOKUP("start",ESLData!F$1:F$9955,MATCH($A1056,ESLData!$B$1:$B$9955,0))*-1</f>
        <v>0</v>
      </c>
      <c r="G1056" s="363">
        <f>HLOOKUP("start",ESLData!H$1:H$9955,MATCH($A1056,ESLData!$B$1:$B$9955,0))*-1</f>
        <v>17963.759999999998</v>
      </c>
      <c r="H1056" s="369"/>
      <c r="K1056" s="368" t="str">
        <f>IF(ISNA(HLOOKUP("start",ESLData!C$1:C$9955,MATCH($A1056,ESLData!$B$1:$B$9955,0))),"",HLOOKUP("start",ESLData!C$1:C$9955,MATCH($A1056,ESLData!$B$1:$B$9955,0)))</f>
        <v>Photocopier lease CSG</v>
      </c>
    </row>
    <row r="1057" spans="1:11" ht="14.25" customHeight="1" x14ac:dyDescent="0.2">
      <c r="A1057" s="176">
        <v>9332</v>
      </c>
      <c r="C1057" s="363">
        <f>HLOOKUP("start",ESLData!E$1:E$9955,MATCH($A1057,ESLData!$B$1:$B$9955,0))*-1</f>
        <v>-414</v>
      </c>
      <c r="D1057" s="369"/>
      <c r="E1057" s="363">
        <f>HLOOKUP("start",ESLData!F$1:F$9955,MATCH($A1057,ESLData!$B$1:$B$9955,0))*-1</f>
        <v>0</v>
      </c>
      <c r="G1057" s="363">
        <f>HLOOKUP("start",ESLData!H$1:H$9955,MATCH($A1057,ESLData!$B$1:$B$9955,0))*-1</f>
        <v>660</v>
      </c>
      <c r="H1057" s="369"/>
      <c r="K1057" s="368" t="str">
        <f>IF(ISNA(HLOOKUP("start",ESLData!C$1:C$9955,MATCH($A1057,ESLData!$B$1:$B$9955,0))),"",HLOOKUP("start",ESLData!C$1:C$9955,MATCH($A1057,ESLData!$B$1:$B$9955,0)))</f>
        <v>Vistab Lease</v>
      </c>
    </row>
    <row r="1058" spans="1:11" ht="14.25" customHeight="1" x14ac:dyDescent="0.2">
      <c r="A1058" s="176">
        <v>9345</v>
      </c>
      <c r="C1058" s="363">
        <f>HLOOKUP("start",ESLData!E$1:E$9955,MATCH($A1058,ESLData!$B$1:$B$9955,0))*-1</f>
        <v>49569.95</v>
      </c>
      <c r="D1058" s="369">
        <f>ROUND(SUM(C1056:C1058),0)</f>
        <v>67120</v>
      </c>
      <c r="E1058" s="363">
        <f>HLOOKUP("start",ESLData!F$1:F$9955,MATCH($A1058,ESLData!$B$1:$B$9955,0))*-1</f>
        <v>37763</v>
      </c>
      <c r="F1058" s="369">
        <f>ROUND(SUM(E1056:E1058),0)</f>
        <v>37763</v>
      </c>
      <c r="G1058" s="363">
        <f>HLOOKUP("start",ESLData!H$1:H$9955,MATCH($A1058,ESLData!$B$1:$B$9955,0))*-1</f>
        <v>30087.85</v>
      </c>
      <c r="H1058" s="369">
        <f>ROUND(SUM(G1056:G1058),0)</f>
        <v>48712</v>
      </c>
      <c r="K1058" s="368" t="str">
        <f>IF(ISNA(HLOOKUP("start",ESLData!C$1:C$9955,MATCH($A1058,ESLData!$B$1:$B$9955,0))),"",HLOOKUP("start",ESLData!C$1:C$9955,MATCH($A1058,ESLData!$B$1:$B$9955,0)))</f>
        <v>TRL Finance Lease Current</v>
      </c>
    </row>
    <row r="1059" spans="1:11" ht="14.25" customHeight="1" x14ac:dyDescent="0.2">
      <c r="A1059" s="367" t="s">
        <v>1356</v>
      </c>
    </row>
    <row r="1060" spans="1:11" ht="14.25" customHeight="1" x14ac:dyDescent="0.2">
      <c r="A1060" s="364">
        <v>9118</v>
      </c>
      <c r="C1060" s="363">
        <f>HLOOKUP("start",ESLData!E$1:E$9955,MATCH($A1060,ESLData!$B$1:$B$9955,0))</f>
        <v>5934.58</v>
      </c>
      <c r="D1060" s="369">
        <f>ROUND(SUM(C1060),0)</f>
        <v>5935</v>
      </c>
      <c r="E1060" s="363">
        <f>HLOOKUP("start",ESLData!F$1:F$9955,MATCH($A1060,ESLData!$B$1:$B$9955,0))*-1</f>
        <v>0</v>
      </c>
      <c r="F1060" s="369">
        <f>ROUND(SUM(E1060),0)</f>
        <v>0</v>
      </c>
      <c r="G1060" s="363">
        <f>HLOOKUP("start",ESLData!H$1:H$9955,MATCH($A1060,ESLData!$B$1:$B$9955,0))*-1</f>
        <v>-10948.83</v>
      </c>
      <c r="H1060" s="369">
        <f>ROUND(SUM(G1060),0)</f>
        <v>-10949</v>
      </c>
      <c r="K1060" s="368" t="str">
        <f>IF(ISNA(HLOOKUP("start",ESLData!C$1:C$9955,MATCH($A1060,ESLData!$B$1:$B$9955,0))),"",HLOOKUP("start",ESLData!C$1:C$9955,MATCH($A1060,ESLData!$B$1:$B$9955,0)))</f>
        <v>Prepaid Interest</v>
      </c>
    </row>
    <row r="1061" spans="1:11" ht="14.25" customHeight="1" x14ac:dyDescent="0.2">
      <c r="A1061" s="367" t="s">
        <v>1357</v>
      </c>
    </row>
    <row r="1062" spans="1:11" ht="14.25" customHeight="1" x14ac:dyDescent="0.2">
      <c r="A1062" s="176">
        <v>9431</v>
      </c>
      <c r="C1062" s="363">
        <f>HLOOKUP("start",ESLData!E$1:E$9955,MATCH($A1062,ESLData!$B$1:$B$9955,0))*-1</f>
        <v>31436.61</v>
      </c>
      <c r="D1062" s="369"/>
      <c r="E1062" s="363">
        <f>HLOOKUP("start",ESLData!F$1:F$9955,MATCH($A1062,ESLData!$B$1:$B$9955,0))*-1</f>
        <v>0</v>
      </c>
      <c r="F1062" s="369"/>
      <c r="G1062" s="363">
        <f>HLOOKUP("start",ESLData!H$1:H$9955,MATCH($A1062,ESLData!$B$1:$B$9955,0))*-1</f>
        <v>49400.37</v>
      </c>
      <c r="H1062" s="369"/>
      <c r="K1062" s="368" t="str">
        <f>IF(ISNA(HLOOKUP("start",ESLData!C$1:C$9955,MATCH($A1062,ESLData!$B$1:$B$9955,0))),"",HLOOKUP("start",ESLData!C$1:C$9955,MATCH($A1062,ESLData!$B$1:$B$9955,0)))</f>
        <v>Photocopier Lease CSG</v>
      </c>
    </row>
    <row r="1063" spans="1:11" ht="14.25" customHeight="1" x14ac:dyDescent="0.2">
      <c r="A1063" s="176">
        <v>9432</v>
      </c>
      <c r="C1063" s="363">
        <f>HLOOKUP("start",ESLData!E$1:E$9955,MATCH($A1063,ESLData!$B$1:$B$9955,0))*-1</f>
        <v>0</v>
      </c>
      <c r="D1063" s="369"/>
      <c r="E1063" s="363">
        <f>HLOOKUP("start",ESLData!F$1:F$9955,MATCH($A1063,ESLData!$B$1:$B$9955,0))*-1</f>
        <v>0</v>
      </c>
      <c r="F1063" s="369"/>
      <c r="G1063" s="363">
        <f>HLOOKUP("start",ESLData!H$1:H$9955,MATCH($A1063,ESLData!$B$1:$B$9955,0))*-1</f>
        <v>385</v>
      </c>
      <c r="H1063" s="369"/>
      <c r="K1063" s="368" t="str">
        <f>IF(ISNA(HLOOKUP("start",ESLData!C$1:C$9955,MATCH($A1063,ESLData!$B$1:$B$9955,0))),"",HLOOKUP("start",ESLData!C$1:C$9955,MATCH($A1063,ESLData!$B$1:$B$9955,0)))</f>
        <v>Vistab Lease</v>
      </c>
    </row>
    <row r="1064" spans="1:11" ht="14.25" customHeight="1" x14ac:dyDescent="0.2">
      <c r="A1064" s="176">
        <v>9445</v>
      </c>
      <c r="C1064" s="363">
        <f>HLOOKUP("start",ESLData!E$1:E$9955,MATCH($A1064,ESLData!$B$1:$B$9955,0))*-1</f>
        <v>48693.35</v>
      </c>
      <c r="D1064" s="369">
        <f>ROUND(SUM(C1062:C1064),0)</f>
        <v>80130</v>
      </c>
      <c r="E1064" s="363">
        <f>HLOOKUP("start",ESLData!F$1:F$9955,MATCH($A1064,ESLData!$B$1:$B$9955,0))*-1</f>
        <v>27470</v>
      </c>
      <c r="F1064" s="369">
        <f>ROUND(SUM(E1062:E1064),0)</f>
        <v>27470</v>
      </c>
      <c r="G1064" s="363">
        <f>HLOOKUP("start",ESLData!H$1:H$9955,MATCH($A1064,ESLData!$B$1:$B$9955,0))*-1</f>
        <v>30158.46</v>
      </c>
      <c r="H1064" s="369">
        <f>ROUND(SUM(G1062:G1064),0)</f>
        <v>79944</v>
      </c>
      <c r="K1064" s="368" t="str">
        <f>IF(ISNA(HLOOKUP("start",ESLData!C$1:C$9955,MATCH($A1064,ESLData!$B$1:$B$9955,0))),"",HLOOKUP("start",ESLData!C$1:C$9955,MATCH($A1064,ESLData!$B$1:$B$9955,0)))</f>
        <v>TRL FInance Lease Term</v>
      </c>
    </row>
  </sheetData>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102"/>
  <sheetViews>
    <sheetView workbookViewId="0"/>
  </sheetViews>
  <sheetFormatPr defaultRowHeight="12.75" x14ac:dyDescent="0.2"/>
  <cols>
    <col min="3" max="3" width="34.28515625" bestFit="1" customWidth="1"/>
    <col min="5" max="5" width="15.7109375" bestFit="1" customWidth="1"/>
    <col min="6" max="6" width="12.7109375" bestFit="1" customWidth="1"/>
    <col min="8" max="9" width="10.140625" bestFit="1" customWidth="1"/>
  </cols>
  <sheetData>
    <row r="1" spans="1:9" x14ac:dyDescent="0.2">
      <c r="A1" s="1" t="s">
        <v>330</v>
      </c>
    </row>
    <row r="2" spans="1:9" x14ac:dyDescent="0.2">
      <c r="A2" s="1"/>
    </row>
    <row r="3" spans="1:9" x14ac:dyDescent="0.2">
      <c r="C3" t="s">
        <v>332</v>
      </c>
      <c r="D3" t="s">
        <v>333</v>
      </c>
      <c r="E3" t="s">
        <v>595</v>
      </c>
    </row>
    <row r="4" spans="1:9" x14ac:dyDescent="0.2">
      <c r="A4" t="s">
        <v>331</v>
      </c>
      <c r="C4">
        <f>(+ESLData!E21)</f>
        <v>-9507797</v>
      </c>
      <c r="D4">
        <f>8384270.3+222080+25068.97+664.02</f>
        <v>8632083.290000001</v>
      </c>
      <c r="E4">
        <f>+C4+D4</f>
        <v>-875713.70999999903</v>
      </c>
      <c r="F4" t="s">
        <v>334</v>
      </c>
    </row>
    <row r="5" spans="1:9" x14ac:dyDescent="0.2">
      <c r="H5" t="s">
        <v>801</v>
      </c>
      <c r="I5" t="s">
        <v>297</v>
      </c>
    </row>
    <row r="6" spans="1:9" x14ac:dyDescent="0.2">
      <c r="A6" t="s">
        <v>335</v>
      </c>
      <c r="C6" s="250">
        <f>SUM(C7:C66)+C4</f>
        <v>3482226.49</v>
      </c>
      <c r="D6">
        <v>3411892.9</v>
      </c>
      <c r="E6" s="250">
        <f>+C6-D6</f>
        <v>70333.590000000317</v>
      </c>
      <c r="F6" t="s">
        <v>175</v>
      </c>
    </row>
    <row r="7" spans="1:9" x14ac:dyDescent="0.2">
      <c r="A7" s="26">
        <v>24500</v>
      </c>
      <c r="B7" s="8"/>
      <c r="C7" s="249">
        <f>HLOOKUP("start",ESLData!E$1:E$9955,MATCH($A7,ESLData!$B$1:$B$9955,0))</f>
        <v>21121.19</v>
      </c>
      <c r="H7" s="249">
        <f>HLOOKUP("start",ESLData!F$1:F$9983,MATCH($A7,ESLData!$B$1:$B$9983,0))</f>
        <v>44000</v>
      </c>
      <c r="I7" s="249">
        <f>HLOOKUP("start",ESLData!H$1:H$9983,MATCH($A7,ESLData!$B$1:$B$9983,0))</f>
        <v>1397.65</v>
      </c>
    </row>
    <row r="8" spans="1:9" x14ac:dyDescent="0.2">
      <c r="A8" s="26">
        <v>24650</v>
      </c>
      <c r="B8" s="8"/>
      <c r="C8" s="249">
        <f>HLOOKUP("start",ESLData!E$1:E$9955,MATCH($A8,ESLData!$B$1:$B$9955,0))</f>
        <v>1179.51</v>
      </c>
      <c r="H8" s="249">
        <f>HLOOKUP("start",ESLData!F$1:F$9983,MATCH($A8,ESLData!$B$1:$B$9983,0))</f>
        <v>200</v>
      </c>
      <c r="I8" s="249">
        <f>HLOOKUP("start",ESLData!H$1:H$9983,MATCH($A8,ESLData!$B$1:$B$9983,0))</f>
        <v>2718.63</v>
      </c>
    </row>
    <row r="9" spans="1:9" x14ac:dyDescent="0.2">
      <c r="A9" s="26">
        <v>24831</v>
      </c>
      <c r="B9" s="8"/>
      <c r="C9" s="249">
        <f>HLOOKUP("start",ESLData!E$1:E$9955,MATCH($A9,ESLData!$B$1:$B$9955,0))</f>
        <v>9944.7800000000007</v>
      </c>
      <c r="H9" s="249">
        <f>HLOOKUP("start",ESLData!F$1:F$9983,MATCH($A9,ESLData!$B$1:$B$9983,0))</f>
        <v>21100</v>
      </c>
      <c r="I9" s="249">
        <f>HLOOKUP("start",ESLData!H$1:H$9983,MATCH($A9,ESLData!$B$1:$B$9983,0))</f>
        <v>15187.3</v>
      </c>
    </row>
    <row r="10" spans="1:9" x14ac:dyDescent="0.2">
      <c r="A10" s="26">
        <v>24861</v>
      </c>
      <c r="B10" s="8"/>
      <c r="C10" s="249">
        <f>HLOOKUP("start",ESLData!E$1:E$9955,MATCH($A10,ESLData!$B$1:$B$9955,0))</f>
        <v>11986.38</v>
      </c>
      <c r="H10" s="249">
        <f>HLOOKUP("start",ESLData!F$1:F$9983,MATCH($A10,ESLData!$B$1:$B$9983,0))</f>
        <v>14573</v>
      </c>
      <c r="I10" s="249">
        <f>HLOOKUP("start",ESLData!H$1:H$9983,MATCH($A10,ESLData!$B$1:$B$9983,0))</f>
        <v>14821.66</v>
      </c>
    </row>
    <row r="11" spans="1:9" x14ac:dyDescent="0.2">
      <c r="A11" s="26">
        <v>24881</v>
      </c>
      <c r="B11" s="8"/>
      <c r="C11" s="249">
        <f>HLOOKUP("start",ESLData!E$1:E$9955,MATCH($A11,ESLData!$B$1:$B$9955,0))</f>
        <v>3757.9</v>
      </c>
      <c r="H11" s="249">
        <f>HLOOKUP("start",ESLData!F$1:F$9983,MATCH($A11,ESLData!$B$1:$B$9983,0))</f>
        <v>14573</v>
      </c>
      <c r="I11" s="249">
        <f>HLOOKUP("start",ESLData!H$1:H$9983,MATCH($A11,ESLData!$B$1:$B$9983,0))</f>
        <v>13248.84</v>
      </c>
    </row>
    <row r="12" spans="1:9" x14ac:dyDescent="0.2">
      <c r="A12" s="26">
        <v>24891</v>
      </c>
      <c r="B12" s="8"/>
      <c r="C12" s="249">
        <f>HLOOKUP("start",ESLData!E$1:E$9955,MATCH($A12,ESLData!$B$1:$B$9955,0))</f>
        <v>5496.02</v>
      </c>
      <c r="H12" s="249">
        <f>HLOOKUP("start",ESLData!F$1:F$9983,MATCH($A12,ESLData!$B$1:$B$9983,0))</f>
        <v>14573</v>
      </c>
      <c r="I12" s="249">
        <f>HLOOKUP("start",ESLData!H$1:H$9983,MATCH($A12,ESLData!$B$1:$B$9983,0))</f>
        <v>14522.72</v>
      </c>
    </row>
    <row r="13" spans="1:9" x14ac:dyDescent="0.2">
      <c r="A13" s="26">
        <v>24901</v>
      </c>
      <c r="B13" s="8"/>
      <c r="C13" s="249">
        <f>HLOOKUP("start",ESLData!E$1:E$9955,MATCH($A13,ESLData!$B$1:$B$9955,0))</f>
        <v>23232.36</v>
      </c>
      <c r="H13" s="249">
        <f>HLOOKUP("start",ESLData!F$1:F$9983,MATCH($A13,ESLData!$B$1:$B$9983,0))</f>
        <v>30776</v>
      </c>
      <c r="I13" s="249">
        <f>HLOOKUP("start",ESLData!H$1:H$9983,MATCH($A13,ESLData!$B$1:$B$9983,0))</f>
        <v>25545.62</v>
      </c>
    </row>
    <row r="14" spans="1:9" x14ac:dyDescent="0.2">
      <c r="A14" s="26">
        <v>30330</v>
      </c>
      <c r="B14" s="8"/>
      <c r="C14" s="249">
        <f>HLOOKUP("start",ESLData!E$1:E$9955,MATCH($A14,ESLData!$B$1:$B$9955,0))</f>
        <v>26932.880000000001</v>
      </c>
      <c r="H14" s="249">
        <f>HLOOKUP("start",ESLData!F$1:F$9983,MATCH($A14,ESLData!$B$1:$B$9983,0))</f>
        <v>26764</v>
      </c>
      <c r="I14" s="249">
        <f>HLOOKUP("start",ESLData!H$1:H$9983,MATCH($A14,ESLData!$B$1:$B$9983,0))</f>
        <v>27123.79</v>
      </c>
    </row>
    <row r="15" spans="1:9" x14ac:dyDescent="0.2">
      <c r="A15" s="26">
        <v>30350</v>
      </c>
      <c r="B15" s="8"/>
      <c r="C15" s="249">
        <f>HLOOKUP("start",ESLData!E$1:E$9955,MATCH($A15,ESLData!$B$1:$B$9955,0))</f>
        <v>30324.53</v>
      </c>
      <c r="H15" s="249">
        <f>HLOOKUP("start",ESLData!F$1:F$9983,MATCH($A15,ESLData!$B$1:$B$9983,0))</f>
        <v>44000</v>
      </c>
      <c r="I15" s="249">
        <f>HLOOKUP("start",ESLData!H$1:H$9983,MATCH($A15,ESLData!$B$1:$B$9983,0))</f>
        <v>17336.009999999998</v>
      </c>
    </row>
    <row r="16" spans="1:9" x14ac:dyDescent="0.2">
      <c r="A16" s="26">
        <v>30385</v>
      </c>
      <c r="B16" s="8"/>
      <c r="C16" s="249">
        <f>HLOOKUP("start",ESLData!E$1:E$9955,MATCH($A16,ESLData!$B$1:$B$9955,0))</f>
        <v>2233.7600000000002</v>
      </c>
      <c r="H16" s="249">
        <f>HLOOKUP("start",ESLData!F$1:F$9983,MATCH($A16,ESLData!$B$1:$B$9983,0))</f>
        <v>0</v>
      </c>
      <c r="I16" s="249">
        <f>HLOOKUP("start",ESLData!H$1:H$9983,MATCH($A16,ESLData!$B$1:$B$9983,0))</f>
        <v>2671.86</v>
      </c>
    </row>
    <row r="17" spans="1:9" x14ac:dyDescent="0.2">
      <c r="A17" s="26">
        <v>30390</v>
      </c>
      <c r="B17" s="8"/>
      <c r="C17" s="249">
        <f>HLOOKUP("start",ESLData!E$1:E$9955,MATCH($A17,ESLData!$B$1:$B$9955,0))</f>
        <v>47171.44</v>
      </c>
      <c r="H17" s="249">
        <f>HLOOKUP("start",ESLData!F$1:F$9983,MATCH($A17,ESLData!$B$1:$B$9983,0))</f>
        <v>54000</v>
      </c>
      <c r="I17" s="249">
        <f>HLOOKUP("start",ESLData!H$1:H$9983,MATCH($A17,ESLData!$B$1:$B$9983,0))</f>
        <v>21269.98</v>
      </c>
    </row>
    <row r="18" spans="1:9" x14ac:dyDescent="0.2">
      <c r="A18" s="26">
        <v>32040</v>
      </c>
      <c r="B18" s="8"/>
      <c r="C18" s="249">
        <f>HLOOKUP("start",ESLData!E$1:E$9955,MATCH($A18,ESLData!$B$1:$B$9955,0))</f>
        <v>0</v>
      </c>
      <c r="H18" s="249">
        <f>HLOOKUP("start",ESLData!F$1:F$9983,MATCH($A18,ESLData!$B$1:$B$9983,0))</f>
        <v>0</v>
      </c>
      <c r="I18" s="249">
        <f>HLOOKUP("start",ESLData!H$1:H$9983,MATCH($A18,ESLData!$B$1:$B$9983,0))</f>
        <v>0</v>
      </c>
    </row>
    <row r="19" spans="1:9" x14ac:dyDescent="0.2">
      <c r="A19" s="26">
        <v>33010</v>
      </c>
      <c r="B19" s="8"/>
      <c r="C19" s="249">
        <f>HLOOKUP("start",ESLData!E$1:E$9955,MATCH($A19,ESLData!$B$1:$B$9955,0))</f>
        <v>251959.55</v>
      </c>
      <c r="H19" s="249">
        <f>HLOOKUP("start",ESLData!F$1:F$9983,MATCH($A19,ESLData!$B$1:$B$9983,0))</f>
        <v>260237</v>
      </c>
      <c r="I19" s="249">
        <f>HLOOKUP("start",ESLData!H$1:H$9983,MATCH($A19,ESLData!$B$1:$B$9983,0))</f>
        <v>218243.33</v>
      </c>
    </row>
    <row r="20" spans="1:9" x14ac:dyDescent="0.2">
      <c r="A20" s="26">
        <v>33285</v>
      </c>
      <c r="B20" s="8"/>
      <c r="C20" s="249">
        <f>HLOOKUP("start",ESLData!E$1:E$9955,MATCH($A20,ESLData!$B$1:$B$9955,0))</f>
        <v>6299.89</v>
      </c>
      <c r="H20" s="249">
        <f>HLOOKUP("start",ESLData!F$1:F$9983,MATCH($A20,ESLData!$B$1:$B$9983,0))</f>
        <v>6807</v>
      </c>
      <c r="I20" s="249">
        <f>HLOOKUP("start",ESLData!H$1:H$9983,MATCH($A20,ESLData!$B$1:$B$9983,0))</f>
        <v>6265.61</v>
      </c>
    </row>
    <row r="21" spans="1:9" x14ac:dyDescent="0.2">
      <c r="A21" s="26">
        <v>33500</v>
      </c>
      <c r="B21" s="8"/>
      <c r="C21" s="249">
        <f>HLOOKUP("start",ESLData!E$1:E$9955,MATCH($A21,ESLData!$B$1:$B$9955,0))</f>
        <v>21174.92</v>
      </c>
      <c r="H21" s="249">
        <f>HLOOKUP("start",ESLData!F$1:F$9983,MATCH($A21,ESLData!$B$1:$B$9983,0))</f>
        <v>42200</v>
      </c>
      <c r="I21" s="249">
        <f>HLOOKUP("start",ESLData!H$1:H$9983,MATCH($A21,ESLData!$B$1:$B$9983,0))</f>
        <v>6519.59</v>
      </c>
    </row>
    <row r="22" spans="1:9" x14ac:dyDescent="0.2">
      <c r="A22" s="26">
        <v>33520</v>
      </c>
      <c r="B22" s="8"/>
      <c r="C22" s="249">
        <f>HLOOKUP("start",ESLData!E$1:E$9955,MATCH($A22,ESLData!$B$1:$B$9955,0))</f>
        <v>5175</v>
      </c>
      <c r="H22" s="249">
        <f>HLOOKUP("start",ESLData!F$1:F$9983,MATCH($A22,ESLData!$B$1:$B$9983,0))</f>
        <v>5000</v>
      </c>
      <c r="I22" s="249">
        <f>HLOOKUP("start",ESLData!H$1:H$9983,MATCH($A22,ESLData!$B$1:$B$9983,0))</f>
        <v>4713.0200000000004</v>
      </c>
    </row>
    <row r="23" spans="1:9" x14ac:dyDescent="0.2">
      <c r="A23" s="26">
        <v>33525</v>
      </c>
      <c r="B23" s="8"/>
      <c r="C23" s="249">
        <f>HLOOKUP("start",ESLData!E$1:E$9955,MATCH($A23,ESLData!$B$1:$B$9955,0))</f>
        <v>40830.120000000003</v>
      </c>
      <c r="H23" s="249">
        <f>HLOOKUP("start",ESLData!F$1:F$9983,MATCH($A23,ESLData!$B$1:$B$9983,0))</f>
        <v>42770</v>
      </c>
      <c r="I23" s="249">
        <f>HLOOKUP("start",ESLData!H$1:H$9983,MATCH($A23,ESLData!$B$1:$B$9983,0))</f>
        <v>41139.94</v>
      </c>
    </row>
    <row r="24" spans="1:9" x14ac:dyDescent="0.2">
      <c r="A24" s="10">
        <v>33550</v>
      </c>
      <c r="B24" s="8"/>
      <c r="C24" s="249">
        <f>HLOOKUP("start",ESLData!E$1:E$9955,MATCH($A24,ESLData!$B$1:$B$9955,0))</f>
        <v>0</v>
      </c>
      <c r="H24" s="249">
        <f>HLOOKUP("start",ESLData!F$1:F$9983,MATCH($A24,ESLData!$B$1:$B$9983,0))</f>
        <v>0</v>
      </c>
      <c r="I24" s="249">
        <f>HLOOKUP("start",ESLData!H$1:H$9983,MATCH($A24,ESLData!$B$1:$B$9983,0))</f>
        <v>-77.38</v>
      </c>
    </row>
    <row r="25" spans="1:9" x14ac:dyDescent="0.2">
      <c r="A25" s="10">
        <v>34700</v>
      </c>
      <c r="B25" s="8"/>
      <c r="C25" s="249">
        <f>HLOOKUP("start",ESLData!E$1:E$9955,MATCH($A25,ESLData!$B$1:$B$9955,0))</f>
        <v>4772.41</v>
      </c>
      <c r="H25" s="249">
        <f>HLOOKUP("start",ESLData!F$1:F$9983,MATCH($A25,ESLData!$B$1:$B$9983,0))</f>
        <v>3805</v>
      </c>
      <c r="I25" s="249">
        <f>HLOOKUP("start",ESLData!H$1:H$9983,MATCH($A25,ESLData!$B$1:$B$9983,0))</f>
        <v>4562.67</v>
      </c>
    </row>
    <row r="26" spans="1:9" x14ac:dyDescent="0.2">
      <c r="A26" s="10">
        <v>35160</v>
      </c>
      <c r="B26" s="8"/>
      <c r="C26" s="249">
        <f>HLOOKUP("start",ESLData!E$1:E$9955,MATCH($A26,ESLData!$B$1:$B$9955,0))</f>
        <v>4772.41</v>
      </c>
      <c r="H26" s="249">
        <f>HLOOKUP("start",ESLData!F$1:F$9983,MATCH($A26,ESLData!$B$1:$B$9983,0))</f>
        <v>3805</v>
      </c>
      <c r="I26" s="249">
        <f>HLOOKUP("start",ESLData!H$1:H$9983,MATCH($A26,ESLData!$B$1:$B$9983,0))</f>
        <v>4562.05</v>
      </c>
    </row>
    <row r="27" spans="1:9" x14ac:dyDescent="0.2">
      <c r="A27" s="1">
        <v>35171</v>
      </c>
      <c r="C27" s="249">
        <f>HLOOKUP("start",ESLData!E$1:E$9955,MATCH($A27,ESLData!$B$1:$B$9955,0))</f>
        <v>14968.68</v>
      </c>
      <c r="H27" s="249">
        <f>HLOOKUP("start",ESLData!F$1:F$9983,MATCH($A27,ESLData!$B$1:$B$9983,0))</f>
        <v>19025</v>
      </c>
      <c r="I27" s="249">
        <f>HLOOKUP("start",ESLData!H$1:H$9983,MATCH($A27,ESLData!$B$1:$B$9983,0))</f>
        <v>14075.59</v>
      </c>
    </row>
    <row r="28" spans="1:9" x14ac:dyDescent="0.2">
      <c r="A28" s="1">
        <v>35200</v>
      </c>
      <c r="C28" s="249">
        <f>HLOOKUP("start",ESLData!E$1:E$9955,MATCH($A28,ESLData!$B$1:$B$9955,0))</f>
        <v>25986.77</v>
      </c>
      <c r="H28" s="249">
        <f>HLOOKUP("start",ESLData!F$1:F$9983,MATCH($A28,ESLData!$B$1:$B$9983,0))</f>
        <v>29849</v>
      </c>
      <c r="I28" s="249">
        <f>HLOOKUP("start",ESLData!H$1:H$9983,MATCH($A28,ESLData!$B$1:$B$9983,0))</f>
        <v>18475.41</v>
      </c>
    </row>
    <row r="29" spans="1:9" x14ac:dyDescent="0.2">
      <c r="A29" s="1">
        <v>35400</v>
      </c>
      <c r="C29" s="249">
        <f>HLOOKUP("start",ESLData!E$1:E$9955,MATCH($A29,ESLData!$B$1:$B$9955,0))</f>
        <v>23202.92</v>
      </c>
      <c r="H29" s="249">
        <f>HLOOKUP("start",ESLData!F$1:F$9983,MATCH($A29,ESLData!$B$1:$B$9983,0))</f>
        <v>19500</v>
      </c>
      <c r="I29" s="249">
        <f>HLOOKUP("start",ESLData!H$1:H$9983,MATCH($A29,ESLData!$B$1:$B$9983,0))</f>
        <v>18300.14</v>
      </c>
    </row>
    <row r="30" spans="1:9" x14ac:dyDescent="0.2">
      <c r="A30" s="1">
        <v>35525</v>
      </c>
      <c r="C30" s="249">
        <f>HLOOKUP("start",ESLData!E$1:E$9955,MATCH($A30,ESLData!$B$1:$B$9955,0))</f>
        <v>68039.5</v>
      </c>
      <c r="H30" s="249">
        <f>HLOOKUP("start",ESLData!F$1:F$9983,MATCH($A30,ESLData!$B$1:$B$9983,0))</f>
        <v>190410</v>
      </c>
      <c r="I30" s="249">
        <f>HLOOKUP("start",ESLData!H$1:H$9983,MATCH($A30,ESLData!$B$1:$B$9983,0))</f>
        <v>56090.55</v>
      </c>
    </row>
    <row r="31" spans="1:9" x14ac:dyDescent="0.2">
      <c r="A31" s="1">
        <v>35700</v>
      </c>
      <c r="C31" s="249">
        <f>HLOOKUP("start",ESLData!E$1:E$9955,MATCH($A31,ESLData!$B$1:$B$9955,0))</f>
        <v>22355.03</v>
      </c>
      <c r="H31" s="249">
        <f>HLOOKUP("start",ESLData!F$1:F$9983,MATCH($A31,ESLData!$B$1:$B$9983,0))</f>
        <v>29022</v>
      </c>
      <c r="I31" s="249">
        <f>HLOOKUP("start",ESLData!H$1:H$9983,MATCH($A31,ESLData!$B$1:$B$9983,0))</f>
        <v>21151.13</v>
      </c>
    </row>
    <row r="32" spans="1:9" x14ac:dyDescent="0.2">
      <c r="A32" s="1">
        <v>35800</v>
      </c>
      <c r="C32" s="249">
        <f>HLOOKUP("start",ESLData!E$1:E$9955,MATCH($A32,ESLData!$B$1:$B$9955,0))</f>
        <v>24984.77</v>
      </c>
      <c r="H32" s="249">
        <f>HLOOKUP("start",ESLData!F$1:F$9983,MATCH($A32,ESLData!$B$1:$B$9983,0))</f>
        <v>27500</v>
      </c>
      <c r="I32" s="249">
        <f>HLOOKUP("start",ESLData!H$1:H$9983,MATCH($A32,ESLData!$B$1:$B$9983,0))</f>
        <v>28734.52</v>
      </c>
    </row>
    <row r="33" spans="1:9" x14ac:dyDescent="0.2">
      <c r="A33" s="1">
        <v>35900</v>
      </c>
      <c r="C33" s="249">
        <f>HLOOKUP("start",ESLData!E$1:E$9955,MATCH($A33,ESLData!$B$1:$B$9955,0))</f>
        <v>28965.09</v>
      </c>
      <c r="H33" s="249">
        <f>HLOOKUP("start",ESLData!F$1:F$9983,MATCH($A33,ESLData!$B$1:$B$9983,0))</f>
        <v>29670</v>
      </c>
      <c r="I33" s="249">
        <f>HLOOKUP("start",ESLData!H$1:H$9983,MATCH($A33,ESLData!$B$1:$B$9983,0))</f>
        <v>28747.57</v>
      </c>
    </row>
    <row r="34" spans="1:9" x14ac:dyDescent="0.2">
      <c r="A34" s="1">
        <v>37300</v>
      </c>
      <c r="C34" s="249">
        <f>HLOOKUP("start",ESLData!E$1:E$9955,MATCH($A34,ESLData!$B$1:$B$9955,0))</f>
        <v>260493.62</v>
      </c>
      <c r="H34" s="249">
        <f>HLOOKUP("start",ESLData!F$1:F$9983,MATCH($A34,ESLData!$B$1:$B$9983,0))</f>
        <v>242468</v>
      </c>
      <c r="I34" s="249">
        <f>HLOOKUP("start",ESLData!H$1:H$9983,MATCH($A34,ESLData!$B$1:$B$9983,0))</f>
        <v>254140.95</v>
      </c>
    </row>
    <row r="35" spans="1:9" x14ac:dyDescent="0.2">
      <c r="A35" s="1">
        <v>37305</v>
      </c>
      <c r="C35" s="249">
        <f>HLOOKUP("start",ESLData!E$1:E$9955,MATCH($A35,ESLData!$B$1:$B$9955,0))</f>
        <v>57990.43</v>
      </c>
      <c r="H35" s="249">
        <f>HLOOKUP("start",ESLData!F$1:F$9983,MATCH($A35,ESLData!$B$1:$B$9983,0))</f>
        <v>53392</v>
      </c>
      <c r="I35" s="249">
        <f>HLOOKUP("start",ESLData!H$1:H$9983,MATCH($A35,ESLData!$B$1:$B$9983,0))</f>
        <v>58194.28</v>
      </c>
    </row>
    <row r="36" spans="1:9" x14ac:dyDescent="0.2">
      <c r="A36" s="1">
        <v>37306</v>
      </c>
      <c r="C36" s="249">
        <f>HLOOKUP("start",ESLData!E$1:E$9955,MATCH($A36,ESLData!$B$1:$B$9955,0))</f>
        <v>0</v>
      </c>
      <c r="H36" s="249">
        <f>HLOOKUP("start",ESLData!F$1:F$9983,MATCH($A36,ESLData!$B$1:$B$9983,0))</f>
        <v>6260</v>
      </c>
      <c r="I36" s="249">
        <f>HLOOKUP("start",ESLData!H$1:H$9983,MATCH($A36,ESLData!$B$1:$B$9983,0))</f>
        <v>1586.74</v>
      </c>
    </row>
    <row r="37" spans="1:9" x14ac:dyDescent="0.2">
      <c r="A37" s="1">
        <v>37315</v>
      </c>
      <c r="C37" s="249">
        <f>HLOOKUP("start",ESLData!E$1:E$9955,MATCH($A37,ESLData!$B$1:$B$9955,0))</f>
        <v>0</v>
      </c>
      <c r="H37" s="249">
        <f>HLOOKUP("start",ESLData!F$1:F$9983,MATCH($A37,ESLData!$B$1:$B$9983,0))</f>
        <v>0</v>
      </c>
      <c r="I37" s="249">
        <f>HLOOKUP("start",ESLData!H$1:H$9983,MATCH($A37,ESLData!$B$1:$B$9983,0))</f>
        <v>0</v>
      </c>
    </row>
    <row r="38" spans="1:9" x14ac:dyDescent="0.2">
      <c r="A38" s="1">
        <v>37400</v>
      </c>
      <c r="C38" s="249">
        <f>HLOOKUP("start",ESLData!E$1:E$9955,MATCH($A38,ESLData!$B$1:$B$9955,0))</f>
        <v>17500.32</v>
      </c>
      <c r="H38" s="249">
        <f>HLOOKUP("start",ESLData!F$1:F$9983,MATCH($A38,ESLData!$B$1:$B$9983,0))</f>
        <v>16960</v>
      </c>
      <c r="I38" s="249">
        <f>HLOOKUP("start",ESLData!H$1:H$9983,MATCH($A38,ESLData!$B$1:$B$9983,0))</f>
        <v>16719.900000000001</v>
      </c>
    </row>
    <row r="39" spans="1:9" x14ac:dyDescent="0.2">
      <c r="A39" s="1">
        <v>37500</v>
      </c>
      <c r="C39" s="249">
        <f>HLOOKUP("start",ESLData!E$1:E$9955,MATCH($A39,ESLData!$B$1:$B$9955,0))</f>
        <v>12186.98</v>
      </c>
      <c r="H39" s="249">
        <f>HLOOKUP("start",ESLData!F$1:F$9983,MATCH($A39,ESLData!$B$1:$B$9983,0))</f>
        <v>14700</v>
      </c>
      <c r="I39" s="249">
        <f>HLOOKUP("start",ESLData!H$1:H$9983,MATCH($A39,ESLData!$B$1:$B$9983,0))</f>
        <v>11795.97</v>
      </c>
    </row>
    <row r="40" spans="1:9" x14ac:dyDescent="0.2">
      <c r="A40" s="1">
        <v>37900</v>
      </c>
      <c r="C40" s="249">
        <f>HLOOKUP("start",ESLData!E$1:E$9955,MATCH($A40,ESLData!$B$1:$B$9955,0))</f>
        <v>0</v>
      </c>
      <c r="H40" s="249">
        <f>HLOOKUP("start",ESLData!F$1:F$9983,MATCH($A40,ESLData!$B$1:$B$9983,0))</f>
        <v>0</v>
      </c>
      <c r="I40" s="249">
        <f>HLOOKUP("start",ESLData!H$1:H$9983,MATCH($A40,ESLData!$B$1:$B$9983,0))</f>
        <v>0</v>
      </c>
    </row>
    <row r="41" spans="1:9" x14ac:dyDescent="0.2">
      <c r="A41" s="1">
        <v>38220</v>
      </c>
      <c r="C41" s="249">
        <f>HLOOKUP("start",ESLData!E$1:E$9955,MATCH($A41,ESLData!$B$1:$B$9955,0))</f>
        <v>577384.34</v>
      </c>
      <c r="H41" s="249">
        <f>HLOOKUP("start",ESLData!F$1:F$9983,MATCH($A41,ESLData!$B$1:$B$9983,0))</f>
        <v>686929</v>
      </c>
      <c r="I41" s="249">
        <f>HLOOKUP("start",ESLData!H$1:H$9983,MATCH($A41,ESLData!$B$1:$B$9983,0))</f>
        <v>505118.9</v>
      </c>
    </row>
    <row r="42" spans="1:9" x14ac:dyDescent="0.2">
      <c r="A42" s="1">
        <v>38221</v>
      </c>
      <c r="C42" s="249">
        <f>HLOOKUP("start",ESLData!E$1:E$9955,MATCH($A42,ESLData!$B$1:$B$9955,0))</f>
        <v>26663.56</v>
      </c>
      <c r="H42" s="249">
        <f>HLOOKUP("start",ESLData!F$1:F$9983,MATCH($A42,ESLData!$B$1:$B$9983,0))</f>
        <v>26764</v>
      </c>
      <c r="I42" s="249">
        <f>HLOOKUP("start",ESLData!H$1:H$9983,MATCH($A42,ESLData!$B$1:$B$9983,0))</f>
        <v>26361.17</v>
      </c>
    </row>
    <row r="43" spans="1:9" x14ac:dyDescent="0.2">
      <c r="A43" s="1">
        <v>38500</v>
      </c>
      <c r="C43" s="249">
        <f>HLOOKUP("start",ESLData!E$1:E$9955,MATCH($A43,ESLData!$B$1:$B$9955,0))</f>
        <v>50070.97</v>
      </c>
      <c r="H43" s="249">
        <f>HLOOKUP("start",ESLData!F$1:F$9983,MATCH($A43,ESLData!$B$1:$B$9983,0))</f>
        <v>52554</v>
      </c>
      <c r="I43" s="249">
        <f>HLOOKUP("start",ESLData!H$1:H$9983,MATCH($A43,ESLData!$B$1:$B$9983,0))</f>
        <v>48368.58</v>
      </c>
    </row>
    <row r="44" spans="1:9" x14ac:dyDescent="0.2">
      <c r="A44" s="1">
        <v>38700</v>
      </c>
      <c r="C44" s="249">
        <f>HLOOKUP("start",ESLData!E$1:E$9955,MATCH($A44,ESLData!$B$1:$B$9955,0))</f>
        <v>0</v>
      </c>
      <c r="H44" s="249">
        <f>HLOOKUP("start",ESLData!F$1:F$9983,MATCH($A44,ESLData!$B$1:$B$9983,0))</f>
        <v>0</v>
      </c>
      <c r="I44" s="249">
        <f>HLOOKUP("start",ESLData!H$1:H$9983,MATCH($A44,ESLData!$B$1:$B$9983,0))</f>
        <v>0</v>
      </c>
    </row>
    <row r="45" spans="1:9" x14ac:dyDescent="0.2">
      <c r="A45" s="1">
        <v>38929</v>
      </c>
      <c r="C45" s="249">
        <f>HLOOKUP("start",ESLData!E$1:E$9955,MATCH($A45,ESLData!$B$1:$B$9955,0))</f>
        <v>15757.29</v>
      </c>
      <c r="H45" s="249">
        <f>HLOOKUP("start",ESLData!F$1:F$9983,MATCH($A45,ESLData!$B$1:$B$9983,0))</f>
        <v>54950</v>
      </c>
      <c r="I45" s="249">
        <f>HLOOKUP("start",ESLData!H$1:H$9983,MATCH($A45,ESLData!$B$1:$B$9983,0))</f>
        <v>8397.67</v>
      </c>
    </row>
    <row r="46" spans="1:9" x14ac:dyDescent="0.2">
      <c r="A46" s="1">
        <v>38930</v>
      </c>
      <c r="C46" s="249">
        <f>HLOOKUP("start",ESLData!E$1:E$9955,MATCH($A46,ESLData!$B$1:$B$9955,0))</f>
        <v>142774.87</v>
      </c>
      <c r="H46" s="249">
        <f>HLOOKUP("start",ESLData!F$1:F$9983,MATCH($A46,ESLData!$B$1:$B$9983,0))</f>
        <v>226774</v>
      </c>
      <c r="I46" s="249">
        <f>HLOOKUP("start",ESLData!H$1:H$9983,MATCH($A46,ESLData!$B$1:$B$9983,0))</f>
        <v>167917.95</v>
      </c>
    </row>
    <row r="47" spans="1:9" x14ac:dyDescent="0.2">
      <c r="A47" s="1">
        <v>38940</v>
      </c>
      <c r="C47" s="249">
        <f>HLOOKUP("start",ESLData!E$1:E$9955,MATCH($A47,ESLData!$B$1:$B$9955,0))</f>
        <v>29629.53</v>
      </c>
      <c r="H47" s="249">
        <f>HLOOKUP("start",ESLData!F$1:F$9983,MATCH($A47,ESLData!$B$1:$B$9983,0))</f>
        <v>29022</v>
      </c>
      <c r="I47" s="249">
        <f>HLOOKUP("start",ESLData!H$1:H$9983,MATCH($A47,ESLData!$B$1:$B$9983,0))</f>
        <v>26516.78</v>
      </c>
    </row>
    <row r="48" spans="1:9" x14ac:dyDescent="0.2">
      <c r="A48" s="1">
        <v>39030</v>
      </c>
      <c r="C48" s="249">
        <f>HLOOKUP("start",ESLData!E$1:E$9955,MATCH($A48,ESLData!$B$1:$B$9955,0))</f>
        <v>24599.65</v>
      </c>
      <c r="H48" s="249">
        <f>HLOOKUP("start",ESLData!F$1:F$9983,MATCH($A48,ESLData!$B$1:$B$9983,0))</f>
        <v>52519</v>
      </c>
      <c r="I48" s="249">
        <f>HLOOKUP("start",ESLData!H$1:H$9983,MATCH($A48,ESLData!$B$1:$B$9983,0))</f>
        <v>47496.17</v>
      </c>
    </row>
    <row r="49" spans="1:9" x14ac:dyDescent="0.2">
      <c r="A49" s="1">
        <v>39080</v>
      </c>
      <c r="C49" s="249">
        <f>HLOOKUP("start",ESLData!E$1:E$9955,MATCH($A49,ESLData!$B$1:$B$9955,0))</f>
        <v>60493.93</v>
      </c>
      <c r="H49" s="249">
        <f>HLOOKUP("start",ESLData!F$1:F$9983,MATCH($A49,ESLData!$B$1:$B$9983,0))</f>
        <v>51163</v>
      </c>
      <c r="I49" s="249">
        <f>HLOOKUP("start",ESLData!H$1:H$9983,MATCH($A49,ESLData!$B$1:$B$9983,0))</f>
        <v>78705.56</v>
      </c>
    </row>
    <row r="50" spans="1:9" x14ac:dyDescent="0.2">
      <c r="A50" s="1">
        <v>39130</v>
      </c>
      <c r="C50" s="249">
        <f>HLOOKUP("start",ESLData!E$1:E$9955,MATCH($A50,ESLData!$B$1:$B$9955,0))</f>
        <v>17077.13</v>
      </c>
      <c r="H50" s="249">
        <f>HLOOKUP("start",ESLData!F$1:F$9983,MATCH($A50,ESLData!$B$1:$B$9983,0))</f>
        <v>19500</v>
      </c>
      <c r="I50" s="249">
        <f>HLOOKUP("start",ESLData!H$1:H$9983,MATCH($A50,ESLData!$B$1:$B$9983,0))</f>
        <v>16758.939999999999</v>
      </c>
    </row>
    <row r="51" spans="1:9" x14ac:dyDescent="0.2">
      <c r="A51" s="1">
        <v>39180</v>
      </c>
      <c r="C51" s="249">
        <f>HLOOKUP("start",ESLData!E$1:E$9955,MATCH($A51,ESLData!$B$1:$B$9955,0))</f>
        <v>52103.23</v>
      </c>
      <c r="H51" s="249">
        <f>HLOOKUP("start",ESLData!F$1:F$9983,MATCH($A51,ESLData!$B$1:$B$9983,0))</f>
        <v>54755</v>
      </c>
      <c r="I51" s="249">
        <f>HLOOKUP("start",ESLData!H$1:H$9983,MATCH($A51,ESLData!$B$1:$B$9983,0))</f>
        <v>54289.7</v>
      </c>
    </row>
    <row r="52" spans="1:9" x14ac:dyDescent="0.2">
      <c r="A52" s="1">
        <v>39230</v>
      </c>
      <c r="C52" s="249">
        <f>HLOOKUP("start",ESLData!E$1:E$9955,MATCH($A52,ESLData!$B$1:$B$9955,0))</f>
        <v>27082.69</v>
      </c>
      <c r="H52" s="249">
        <f>HLOOKUP("start",ESLData!F$1:F$9983,MATCH($A52,ESLData!$B$1:$B$9983,0))</f>
        <v>30270</v>
      </c>
      <c r="I52" s="249">
        <f>HLOOKUP("start",ESLData!H$1:H$9983,MATCH($A52,ESLData!$B$1:$B$9983,0))</f>
        <v>25621.97</v>
      </c>
    </row>
    <row r="53" spans="1:9" x14ac:dyDescent="0.2">
      <c r="A53" s="1">
        <v>39280</v>
      </c>
      <c r="C53" s="249">
        <f>HLOOKUP("start",ESLData!E$1:E$9955,MATCH($A53,ESLData!$B$1:$B$9955,0))</f>
        <v>43469.25</v>
      </c>
      <c r="H53" s="249">
        <f>HLOOKUP("start",ESLData!F$1:F$9983,MATCH($A53,ESLData!$B$1:$B$9983,0))</f>
        <v>47061</v>
      </c>
      <c r="I53" s="249">
        <f>HLOOKUP("start",ESLData!H$1:H$9983,MATCH($A53,ESLData!$B$1:$B$9983,0))</f>
        <v>42618.83</v>
      </c>
    </row>
    <row r="54" spans="1:9" x14ac:dyDescent="0.2">
      <c r="A54" s="1">
        <v>39330</v>
      </c>
      <c r="C54" s="249">
        <f>HLOOKUP("start",ESLData!E$1:E$9955,MATCH($A54,ESLData!$B$1:$B$9955,0))</f>
        <v>39231.49</v>
      </c>
      <c r="H54" s="249">
        <f>HLOOKUP("start",ESLData!F$1:F$9983,MATCH($A54,ESLData!$B$1:$B$9983,0))</f>
        <v>44658</v>
      </c>
      <c r="I54" s="249">
        <f>HLOOKUP("start",ESLData!H$1:H$9983,MATCH($A54,ESLData!$B$1:$B$9983,0))</f>
        <v>32212.93</v>
      </c>
    </row>
    <row r="55" spans="1:9" x14ac:dyDescent="0.2">
      <c r="A55" s="1">
        <v>39380</v>
      </c>
      <c r="C55" s="249">
        <f>HLOOKUP("start",ESLData!E$1:E$9955,MATCH($A55,ESLData!$B$1:$B$9955,0))</f>
        <v>32722.86</v>
      </c>
      <c r="H55" s="249">
        <f>HLOOKUP("start",ESLData!F$1:F$9983,MATCH($A55,ESLData!$B$1:$B$9983,0))</f>
        <v>32198</v>
      </c>
      <c r="I55" s="249">
        <f>HLOOKUP("start",ESLData!H$1:H$9983,MATCH($A55,ESLData!$B$1:$B$9983,0))</f>
        <v>32061.69</v>
      </c>
    </row>
    <row r="56" spans="1:9" x14ac:dyDescent="0.2">
      <c r="A56" s="1">
        <v>39500</v>
      </c>
      <c r="C56" s="249">
        <f>HLOOKUP("start",ESLData!E$1:E$9955,MATCH($A56,ESLData!$B$1:$B$9955,0))</f>
        <v>28169.99</v>
      </c>
      <c r="H56" s="249">
        <f>HLOOKUP("start",ESLData!F$1:F$9983,MATCH($A56,ESLData!$B$1:$B$9983,0))</f>
        <v>29752</v>
      </c>
      <c r="I56" s="249">
        <f>HLOOKUP("start",ESLData!H$1:H$9983,MATCH($A56,ESLData!$B$1:$B$9983,0))</f>
        <v>22362.62</v>
      </c>
    </row>
    <row r="57" spans="1:9" x14ac:dyDescent="0.2">
      <c r="A57" s="1">
        <v>46060</v>
      </c>
      <c r="C57" s="249">
        <f>HLOOKUP("start",ESLData!E$1:E$9955,MATCH($A57,ESLData!$B$1:$B$9955,0))</f>
        <v>20728.689999999999</v>
      </c>
      <c r="H57" s="249">
        <f>HLOOKUP("start",ESLData!F$1:F$9983,MATCH($A57,ESLData!$B$1:$B$9983,0))</f>
        <v>28000</v>
      </c>
      <c r="I57" s="249">
        <f>HLOOKUP("start",ESLData!H$1:H$9983,MATCH($A57,ESLData!$B$1:$B$9983,0))</f>
        <v>24948.89</v>
      </c>
    </row>
    <row r="58" spans="1:9" x14ac:dyDescent="0.2">
      <c r="A58" s="25">
        <v>46860</v>
      </c>
      <c r="C58" s="249">
        <f>HLOOKUP("start",ESLData!E$1:E$9955,MATCH($A58,ESLData!$B$1:$B$9955,0))</f>
        <v>219294.84</v>
      </c>
      <c r="H58" s="249">
        <f>HLOOKUP("start",ESLData!F$1:F$9983,MATCH($A58,ESLData!$B$1:$B$9983,0))</f>
        <v>247417</v>
      </c>
      <c r="I58" s="249">
        <f>HLOOKUP("start",ESLData!H$1:H$9983,MATCH($A58,ESLData!$B$1:$B$9983,0))</f>
        <v>214167.1</v>
      </c>
    </row>
    <row r="59" spans="1:9" x14ac:dyDescent="0.2">
      <c r="A59" s="1">
        <v>46888</v>
      </c>
      <c r="C59" s="249">
        <f>HLOOKUP("start",ESLData!E$1:E$9955,MATCH($A59,ESLData!$B$1:$B$9955,0))</f>
        <v>77603.350000000006</v>
      </c>
      <c r="H59" s="249">
        <f>HLOOKUP("start",ESLData!F$1:F$9983,MATCH($A59,ESLData!$B$1:$B$9983,0))</f>
        <v>60000</v>
      </c>
      <c r="I59" s="249">
        <f>HLOOKUP("start",ESLData!H$1:H$9983,MATCH($A59,ESLData!$B$1:$B$9983,0))</f>
        <v>7799.42</v>
      </c>
    </row>
    <row r="60" spans="1:9" x14ac:dyDescent="0.2">
      <c r="A60" s="1">
        <v>57420</v>
      </c>
      <c r="C60" s="249">
        <f>HLOOKUP("start",ESLData!E$1:E$9955,MATCH($A60,ESLData!$B$1:$B$9955,0))</f>
        <v>197939.55</v>
      </c>
      <c r="H60" s="249">
        <f>HLOOKUP("start",ESLData!F$1:F$9983,MATCH($A60,ESLData!$B$1:$B$9983,0))</f>
        <v>199356</v>
      </c>
      <c r="I60" s="249">
        <f>HLOOKUP("start",ESLData!H$1:H$9983,MATCH($A60,ESLData!$B$1:$B$9983,0))</f>
        <v>190696.26</v>
      </c>
    </row>
    <row r="61" spans="1:9" x14ac:dyDescent="0.2">
      <c r="A61" s="1">
        <v>60000</v>
      </c>
      <c r="C61" s="249">
        <f>HLOOKUP("start",ESLData!E$1:E$9955,MATCH($A61,ESLData!$B$1:$B$9955,0))</f>
        <v>611166.43000000005</v>
      </c>
      <c r="H61" s="249">
        <f>HLOOKUP("start",ESLData!F$1:F$9983,MATCH($A61,ESLData!$B$1:$B$9983,0))</f>
        <v>941947</v>
      </c>
      <c r="I61" s="249">
        <f>HLOOKUP("start",ESLData!H$1:H$9983,MATCH($A61,ESLData!$B$1:$B$9983,0))</f>
        <v>582916.18999999994</v>
      </c>
    </row>
    <row r="62" spans="1:9" x14ac:dyDescent="0.2">
      <c r="A62" s="1">
        <v>60250</v>
      </c>
      <c r="C62" s="249">
        <f>HLOOKUP("start",ESLData!E$1:E$9955,MATCH($A62,ESLData!$B$1:$B$9955,0))</f>
        <v>33351.589999999997</v>
      </c>
      <c r="H62" s="249">
        <f>HLOOKUP("start",ESLData!F$1:F$9983,MATCH($A62,ESLData!$B$1:$B$9983,0))</f>
        <v>35618</v>
      </c>
      <c r="I62" s="249">
        <f>HLOOKUP("start",ESLData!H$1:H$9983,MATCH($A62,ESLData!$B$1:$B$9983,0))</f>
        <v>32481.68</v>
      </c>
    </row>
    <row r="63" spans="1:9" x14ac:dyDescent="0.2">
      <c r="A63" s="1">
        <v>63500</v>
      </c>
      <c r="C63" s="249">
        <f>HLOOKUP("start",ESLData!E$1:E$9955,MATCH($A63,ESLData!$B$1:$B$9955,0))</f>
        <v>24839.24</v>
      </c>
      <c r="H63" s="249">
        <f>HLOOKUP("start",ESLData!F$1:F$9983,MATCH($A63,ESLData!$B$1:$B$9983,0))</f>
        <v>29849</v>
      </c>
      <c r="I63" s="249">
        <f>HLOOKUP("start",ESLData!H$1:H$9983,MATCH($A63,ESLData!$B$1:$B$9983,0))</f>
        <v>17677.189999999999</v>
      </c>
    </row>
    <row r="64" spans="1:9" x14ac:dyDescent="0.2">
      <c r="A64" s="1">
        <v>61800</v>
      </c>
      <c r="C64" s="249">
        <f>HLOOKUP("start",ESLData!E$1:E$9955,MATCH($A64,ESLData!$B$1:$B$9955,0))</f>
        <v>718.9</v>
      </c>
      <c r="H64" s="249">
        <f>HLOOKUP("start",ESLData!F$1:F$9983,MATCH($A64,ESLData!$B$1:$B$9983,0))</f>
        <v>27000</v>
      </c>
      <c r="I64" s="249">
        <f>HLOOKUP("start",ESLData!H$1:H$9983,MATCH($A64,ESLData!$B$1:$B$9983,0))</f>
        <v>5274.12</v>
      </c>
    </row>
    <row r="65" spans="1:9" x14ac:dyDescent="0.2">
      <c r="A65" s="1">
        <v>62500</v>
      </c>
      <c r="C65" s="249">
        <f>HLOOKUP("start",ESLData!E$1:E$9955,MATCH($A65,ESLData!$B$1:$B$9955,0))</f>
        <v>54313.96</v>
      </c>
      <c r="H65" s="249">
        <f>HLOOKUP("start",ESLData!F$1:F$9983,MATCH($A65,ESLData!$B$1:$B$9983,0))</f>
        <v>53771</v>
      </c>
      <c r="I65" s="249">
        <f>HLOOKUP("start",ESLData!H$1:H$9983,MATCH($A65,ESLData!$B$1:$B$9983,0))</f>
        <v>64428.639999999999</v>
      </c>
    </row>
    <row r="66" spans="1:9" x14ac:dyDescent="0.2">
      <c r="A66" s="1">
        <v>30380</v>
      </c>
      <c r="C66" s="249">
        <f>HLOOKUP("start",ESLData!E$1:E$9955,MATCH($A66,ESLData!$B$1:$B$9955,0))</f>
        <v>9507797</v>
      </c>
      <c r="E66" s="250">
        <f>SUM(E6:E65)</f>
        <v>70333.590000000317</v>
      </c>
      <c r="F66" t="s">
        <v>188</v>
      </c>
      <c r="G66" t="s">
        <v>749</v>
      </c>
      <c r="H66" s="249">
        <f>HLOOKUP("start",ESLData!F$1:F$9983,MATCH($A66,ESLData!$B$1:$B$9983,0))</f>
        <v>8850000</v>
      </c>
      <c r="I66" s="249">
        <f>HLOOKUP("start",ESLData!H$1:H$9983,MATCH($A66,ESLData!$B$1:$B$9983,0))</f>
        <v>8755259.5600000005</v>
      </c>
    </row>
    <row r="67" spans="1:9" x14ac:dyDescent="0.2">
      <c r="C67" s="250">
        <f>SUM(C7:C66)</f>
        <v>12990023.49</v>
      </c>
      <c r="E67" s="25" t="s">
        <v>1231</v>
      </c>
      <c r="H67" s="250">
        <f>SUM(H7:H66)</f>
        <v>13219766</v>
      </c>
      <c r="I67" s="250">
        <f>SUM(I7:I66)</f>
        <v>12000244.15</v>
      </c>
    </row>
    <row r="68" spans="1:9" x14ac:dyDescent="0.2">
      <c r="C68" s="250"/>
      <c r="E68" s="25"/>
      <c r="H68" s="250"/>
      <c r="I68" s="250"/>
    </row>
    <row r="69" spans="1:9" x14ac:dyDescent="0.2">
      <c r="C69" s="250"/>
      <c r="E69" s="25"/>
      <c r="H69" s="250"/>
      <c r="I69" s="250"/>
    </row>
    <row r="70" spans="1:9" x14ac:dyDescent="0.2">
      <c r="A70" t="s">
        <v>336</v>
      </c>
      <c r="C70" s="5">
        <f>+Notes!F48</f>
        <v>3970</v>
      </c>
    </row>
    <row r="71" spans="1:9" x14ac:dyDescent="0.2">
      <c r="A71" t="s">
        <v>337</v>
      </c>
      <c r="C71" s="5">
        <f>+Notes!F116</f>
        <v>435069</v>
      </c>
      <c r="E71" s="25" t="s">
        <v>1232</v>
      </c>
    </row>
    <row r="72" spans="1:9" x14ac:dyDescent="0.2">
      <c r="A72" t="s">
        <v>338</v>
      </c>
      <c r="C72" s="5">
        <f>+Notes!F135</f>
        <v>199000</v>
      </c>
    </row>
    <row r="73" spans="1:9" x14ac:dyDescent="0.2">
      <c r="A73" t="s">
        <v>878</v>
      </c>
      <c r="C73" s="5" t="e">
        <f>+Notes!#REF!</f>
        <v>#REF!</v>
      </c>
    </row>
    <row r="74" spans="1:9" x14ac:dyDescent="0.2">
      <c r="A74" t="s">
        <v>339</v>
      </c>
      <c r="C74" s="5" t="e">
        <f>+Notes!#REF!</f>
        <v>#REF!</v>
      </c>
    </row>
    <row r="75" spans="1:9" x14ac:dyDescent="0.2">
      <c r="A75" t="s">
        <v>341</v>
      </c>
      <c r="C75" s="5" t="e">
        <f>+Notes!#REF!</f>
        <v>#REF!</v>
      </c>
    </row>
    <row r="76" spans="1:9" x14ac:dyDescent="0.2">
      <c r="A76" t="s">
        <v>342</v>
      </c>
      <c r="C76" s="5" t="e">
        <f>+Notes!#REF!</f>
        <v>#REF!</v>
      </c>
    </row>
    <row r="77" spans="1:9" x14ac:dyDescent="0.2">
      <c r="A77" t="s">
        <v>884</v>
      </c>
      <c r="C77" s="5" t="e">
        <f>+Notes!#REF!</f>
        <v>#REF!</v>
      </c>
    </row>
    <row r="78" spans="1:9" x14ac:dyDescent="0.2">
      <c r="A78" t="s">
        <v>340</v>
      </c>
      <c r="C78" s="250">
        <f>SUM(C7:C13)</f>
        <v>76718.14</v>
      </c>
    </row>
    <row r="79" spans="1:9" x14ac:dyDescent="0.2">
      <c r="C79" s="250"/>
      <c r="D79" t="s">
        <v>345</v>
      </c>
    </row>
    <row r="80" spans="1:9" x14ac:dyDescent="0.2">
      <c r="C80" s="5" t="e">
        <f>SUM(C70:C78)</f>
        <v>#REF!</v>
      </c>
      <c r="D80">
        <f>+D4+D6</f>
        <v>12043976.190000001</v>
      </c>
      <c r="E80" s="148" t="e">
        <f>+C80-D80</f>
        <v>#REF!</v>
      </c>
    </row>
    <row r="81" spans="3:6" x14ac:dyDescent="0.2">
      <c r="E81" s="148">
        <f>+C43+C25</f>
        <v>54843.380000000005</v>
      </c>
      <c r="F81" t="s">
        <v>184</v>
      </c>
    </row>
    <row r="82" spans="3:6" x14ac:dyDescent="0.2">
      <c r="E82" s="148">
        <f>+C46+C47+C45</f>
        <v>188161.69</v>
      </c>
      <c r="F82" t="s">
        <v>185</v>
      </c>
    </row>
    <row r="83" spans="3:6" x14ac:dyDescent="0.2">
      <c r="E83" s="148">
        <f>+C18</f>
        <v>0</v>
      </c>
      <c r="F83" t="s">
        <v>176</v>
      </c>
    </row>
    <row r="84" spans="3:6" x14ac:dyDescent="0.2">
      <c r="E84" s="148">
        <f>+C39</f>
        <v>12186.98</v>
      </c>
      <c r="F84" t="s">
        <v>343</v>
      </c>
    </row>
    <row r="85" spans="3:6" x14ac:dyDescent="0.2">
      <c r="E85" s="148">
        <f>+C27+C30+C33+C61+C26+C62</f>
        <v>761263.70000000007</v>
      </c>
      <c r="F85" t="s">
        <v>186</v>
      </c>
    </row>
    <row r="86" spans="3:6" x14ac:dyDescent="0.2">
      <c r="E86" s="148">
        <f>+C64</f>
        <v>718.9</v>
      </c>
      <c r="F86" t="s">
        <v>187</v>
      </c>
    </row>
    <row r="87" spans="3:6" hidden="1" x14ac:dyDescent="0.2">
      <c r="E87" s="148">
        <v>0</v>
      </c>
      <c r="F87" t="s">
        <v>344</v>
      </c>
    </row>
    <row r="88" spans="3:6" hidden="1" x14ac:dyDescent="0.2">
      <c r="E88" s="148">
        <v>0</v>
      </c>
      <c r="F88" t="s">
        <v>1233</v>
      </c>
    </row>
    <row r="89" spans="3:6" x14ac:dyDescent="0.2">
      <c r="E89" s="251" t="e">
        <f>SUM(E80:E88)</f>
        <v>#REF!</v>
      </c>
    </row>
    <row r="90" spans="3:6" x14ac:dyDescent="0.2">
      <c r="C90" s="25" t="s">
        <v>1230</v>
      </c>
      <c r="E90">
        <f>-'Codes allocation'!C794</f>
        <v>-404.54</v>
      </c>
      <c r="F90">
        <v>46861</v>
      </c>
    </row>
    <row r="91" spans="3:6" x14ac:dyDescent="0.2">
      <c r="C91" t="s">
        <v>168</v>
      </c>
      <c r="E91" s="8">
        <v>-7574</v>
      </c>
      <c r="F91">
        <v>46060</v>
      </c>
    </row>
    <row r="92" spans="3:6" x14ac:dyDescent="0.2">
      <c r="C92" t="s">
        <v>169</v>
      </c>
      <c r="E92" t="e">
        <f>-'Codes allocation'!C795-'Codes allocation'!C737-'Codes allocation'!#REF!-'Codes allocation'!C796-'Codes allocation'!C804</f>
        <v>#REF!</v>
      </c>
      <c r="F92" s="347" t="s">
        <v>170</v>
      </c>
    </row>
    <row r="93" spans="3:6" x14ac:dyDescent="0.2">
      <c r="C93" t="s">
        <v>172</v>
      </c>
      <c r="E93">
        <f>-'Codes allocation'!C843-'Codes allocation'!C844</f>
        <v>-121363.04999999999</v>
      </c>
      <c r="F93" s="342" t="s">
        <v>171</v>
      </c>
    </row>
    <row r="94" spans="3:6" x14ac:dyDescent="0.2">
      <c r="C94" t="s">
        <v>173</v>
      </c>
      <c r="E94">
        <f>-'Codes allocation'!C878-'Codes allocation'!C573-'Codes allocation'!C445</f>
        <v>-34491.550000000003</v>
      </c>
      <c r="F94" s="342" t="s">
        <v>174</v>
      </c>
    </row>
    <row r="95" spans="3:6" x14ac:dyDescent="0.2">
      <c r="C95" t="s">
        <v>178</v>
      </c>
      <c r="E95">
        <f>-'Codes allocation'!C915-'Codes allocation'!C917</f>
        <v>0</v>
      </c>
      <c r="F95" s="342" t="s">
        <v>177</v>
      </c>
    </row>
    <row r="96" spans="3:6" x14ac:dyDescent="0.2">
      <c r="C96" t="s">
        <v>179</v>
      </c>
      <c r="E96">
        <f>-'Codes allocation'!C629</f>
        <v>0</v>
      </c>
      <c r="F96" s="342">
        <v>33070</v>
      </c>
    </row>
    <row r="97" spans="3:6" x14ac:dyDescent="0.2">
      <c r="C97" t="s">
        <v>180</v>
      </c>
      <c r="E97" t="e">
        <f>-'Codes allocation'!C190-'Codes allocation'!#REF!</f>
        <v>#REF!</v>
      </c>
      <c r="F97" s="342" t="s">
        <v>181</v>
      </c>
    </row>
    <row r="98" spans="3:6" x14ac:dyDescent="0.2">
      <c r="E98" s="8">
        <v>-10679</v>
      </c>
      <c r="F98" s="356" t="s">
        <v>1234</v>
      </c>
    </row>
    <row r="99" spans="3:6" x14ac:dyDescent="0.2">
      <c r="C99" t="s">
        <v>182</v>
      </c>
      <c r="E99" t="e">
        <f>-'Codes allocation'!C213-'Codes allocation'!C241-'Codes allocation'!#REF!</f>
        <v>#REF!</v>
      </c>
      <c r="F99" s="342" t="s">
        <v>183</v>
      </c>
    </row>
    <row r="100" spans="3:6" x14ac:dyDescent="0.2">
      <c r="E100" s="5" t="e">
        <f>SUM(E89:E99)</f>
        <v>#REF!</v>
      </c>
      <c r="F100" t="s">
        <v>189</v>
      </c>
    </row>
    <row r="102" spans="3:6" x14ac:dyDescent="0.2">
      <c r="E102" s="148"/>
    </row>
  </sheetData>
  <phoneticPr fontId="66"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043"/>
  <sheetViews>
    <sheetView zoomScaleNormal="100" workbookViewId="0">
      <pane ySplit="1" topLeftCell="A932" activePane="bottomLeft" state="frozen"/>
      <selection pane="bottomLeft" activeCell="P957" sqref="P957"/>
    </sheetView>
  </sheetViews>
  <sheetFormatPr defaultRowHeight="12.75" x14ac:dyDescent="0.2"/>
  <cols>
    <col min="4" max="4" width="10" customWidth="1"/>
    <col min="5" max="5" width="13.42578125" bestFit="1" customWidth="1"/>
  </cols>
  <sheetData>
    <row r="1" spans="1:8" x14ac:dyDescent="0.2">
      <c r="A1" t="s">
        <v>22</v>
      </c>
      <c r="B1" t="s">
        <v>849</v>
      </c>
      <c r="C1" t="s">
        <v>1017</v>
      </c>
      <c r="D1" t="s">
        <v>1265</v>
      </c>
      <c r="E1" t="s">
        <v>1266</v>
      </c>
      <c r="F1" t="s">
        <v>801</v>
      </c>
      <c r="G1" t="s">
        <v>1267</v>
      </c>
      <c r="H1" t="s">
        <v>1268</v>
      </c>
    </row>
    <row r="2" spans="1:8" x14ac:dyDescent="0.2">
      <c r="A2">
        <v>952</v>
      </c>
      <c r="B2">
        <v>100</v>
      </c>
      <c r="C2" t="s">
        <v>1143</v>
      </c>
      <c r="D2">
        <v>0</v>
      </c>
      <c r="E2">
        <v>0</v>
      </c>
      <c r="F2">
        <v>0</v>
      </c>
      <c r="G2">
        <v>0</v>
      </c>
      <c r="H2">
        <v>0</v>
      </c>
    </row>
    <row r="3" spans="1:8" x14ac:dyDescent="0.2">
      <c r="A3">
        <v>952</v>
      </c>
      <c r="B3">
        <v>146</v>
      </c>
      <c r="C3" t="s">
        <v>413</v>
      </c>
      <c r="D3">
        <v>0</v>
      </c>
      <c r="E3">
        <v>0</v>
      </c>
      <c r="F3">
        <v>0</v>
      </c>
      <c r="G3">
        <v>0</v>
      </c>
      <c r="H3">
        <v>0</v>
      </c>
    </row>
    <row r="4" spans="1:8" x14ac:dyDescent="0.2">
      <c r="A4">
        <v>952</v>
      </c>
      <c r="B4">
        <v>148</v>
      </c>
      <c r="C4" t="s">
        <v>277</v>
      </c>
      <c r="D4">
        <v>-320</v>
      </c>
      <c r="E4">
        <v>-320</v>
      </c>
      <c r="F4">
        <v>0</v>
      </c>
      <c r="G4">
        <v>-14720</v>
      </c>
      <c r="H4">
        <v>-14720</v>
      </c>
    </row>
    <row r="5" spans="1:8" x14ac:dyDescent="0.2">
      <c r="A5">
        <v>952</v>
      </c>
      <c r="B5">
        <v>156</v>
      </c>
      <c r="C5" t="s">
        <v>1144</v>
      </c>
      <c r="D5">
        <v>-1645</v>
      </c>
      <c r="E5">
        <v>-26074.99</v>
      </c>
      <c r="F5">
        <v>0</v>
      </c>
      <c r="G5">
        <v>-14160</v>
      </c>
      <c r="H5">
        <v>-14160</v>
      </c>
    </row>
    <row r="6" spans="1:8" x14ac:dyDescent="0.2">
      <c r="A6">
        <v>952</v>
      </c>
      <c r="B6">
        <v>10000</v>
      </c>
      <c r="C6" t="s">
        <v>414</v>
      </c>
      <c r="D6">
        <v>0</v>
      </c>
      <c r="E6">
        <v>0</v>
      </c>
      <c r="F6">
        <v>0</v>
      </c>
      <c r="G6">
        <v>0</v>
      </c>
      <c r="H6">
        <v>0</v>
      </c>
    </row>
    <row r="7" spans="1:8" x14ac:dyDescent="0.2">
      <c r="A7">
        <v>952</v>
      </c>
      <c r="B7">
        <v>10010</v>
      </c>
      <c r="C7" t="s">
        <v>415</v>
      </c>
      <c r="D7">
        <v>-83748.679999999993</v>
      </c>
      <c r="E7">
        <v>-882085.34</v>
      </c>
      <c r="F7">
        <v>-828076</v>
      </c>
      <c r="G7">
        <v>-815003.55</v>
      </c>
      <c r="H7">
        <v>-815003.55</v>
      </c>
    </row>
    <row r="8" spans="1:8" x14ac:dyDescent="0.2">
      <c r="A8">
        <v>952</v>
      </c>
      <c r="B8">
        <v>10011</v>
      </c>
      <c r="C8" t="s">
        <v>416</v>
      </c>
      <c r="D8">
        <v>458826.92</v>
      </c>
      <c r="E8">
        <f>-0.7-458826.92</f>
        <v>-458827.62</v>
      </c>
      <c r="F8">
        <v>0</v>
      </c>
      <c r="G8">
        <v>-217197.11</v>
      </c>
      <c r="H8">
        <v>-217197.11</v>
      </c>
    </row>
    <row r="9" spans="1:8" x14ac:dyDescent="0.2">
      <c r="A9">
        <v>952</v>
      </c>
      <c r="B9">
        <v>10020</v>
      </c>
      <c r="C9" t="s">
        <v>23</v>
      </c>
      <c r="D9">
        <v>0</v>
      </c>
      <c r="E9">
        <v>0</v>
      </c>
      <c r="F9">
        <v>0</v>
      </c>
      <c r="G9">
        <v>-7683.48</v>
      </c>
      <c r="H9">
        <v>-7683.48</v>
      </c>
    </row>
    <row r="10" spans="1:8" x14ac:dyDescent="0.2">
      <c r="A10">
        <v>952</v>
      </c>
      <c r="B10">
        <v>10050</v>
      </c>
      <c r="C10" t="s">
        <v>417</v>
      </c>
      <c r="D10">
        <v>0</v>
      </c>
      <c r="E10">
        <v>0</v>
      </c>
      <c r="F10">
        <v>0</v>
      </c>
      <c r="G10">
        <v>0</v>
      </c>
      <c r="H10">
        <v>0</v>
      </c>
    </row>
    <row r="11" spans="1:8" x14ac:dyDescent="0.2">
      <c r="A11">
        <v>952</v>
      </c>
      <c r="B11">
        <v>10190</v>
      </c>
      <c r="C11" t="s">
        <v>418</v>
      </c>
      <c r="D11">
        <v>-149229.26999999999</v>
      </c>
      <c r="E11">
        <v>-1790751.23</v>
      </c>
      <c r="F11">
        <v>-1790750</v>
      </c>
      <c r="G11">
        <v>-1767770.4</v>
      </c>
      <c r="H11">
        <v>-1767770.4</v>
      </c>
    </row>
    <row r="12" spans="1:8" x14ac:dyDescent="0.2">
      <c r="A12">
        <v>952</v>
      </c>
      <c r="B12">
        <v>10200</v>
      </c>
      <c r="C12" t="s">
        <v>24</v>
      </c>
      <c r="D12">
        <v>-17712.419999999998</v>
      </c>
      <c r="E12">
        <v>-188656.86</v>
      </c>
      <c r="F12">
        <v>-164765</v>
      </c>
      <c r="G12">
        <v>-162651.22</v>
      </c>
      <c r="H12">
        <v>-162651.22</v>
      </c>
    </row>
    <row r="13" spans="1:8" x14ac:dyDescent="0.2">
      <c r="A13">
        <v>952</v>
      </c>
      <c r="B13">
        <v>10210</v>
      </c>
      <c r="C13" t="s">
        <v>25</v>
      </c>
      <c r="D13">
        <v>-66416.22</v>
      </c>
      <c r="E13">
        <v>-712869.49</v>
      </c>
      <c r="F13">
        <v>-628745</v>
      </c>
      <c r="G13">
        <v>-620675.61</v>
      </c>
      <c r="H13">
        <v>-620675.61</v>
      </c>
    </row>
    <row r="14" spans="1:8" x14ac:dyDescent="0.2">
      <c r="A14">
        <v>952</v>
      </c>
      <c r="B14">
        <v>10240</v>
      </c>
      <c r="C14" t="s">
        <v>420</v>
      </c>
      <c r="D14">
        <v>-54415.12</v>
      </c>
      <c r="E14">
        <v>-652981.46</v>
      </c>
      <c r="F14">
        <v>-652980</v>
      </c>
      <c r="G14">
        <v>-644601.69999999995</v>
      </c>
      <c r="H14">
        <v>-644601.69999999995</v>
      </c>
    </row>
    <row r="15" spans="1:8" x14ac:dyDescent="0.2">
      <c r="A15">
        <v>952</v>
      </c>
      <c r="B15">
        <v>10282</v>
      </c>
      <c r="C15" t="s">
        <v>26</v>
      </c>
      <c r="D15">
        <v>-1290.1500000000001</v>
      </c>
      <c r="E15">
        <v>-15481.71</v>
      </c>
      <c r="F15">
        <v>-15481</v>
      </c>
      <c r="G15">
        <v>-15283.41</v>
      </c>
      <c r="H15">
        <v>-15283.41</v>
      </c>
    </row>
    <row r="16" spans="1:8" x14ac:dyDescent="0.2">
      <c r="A16">
        <v>952</v>
      </c>
      <c r="B16">
        <v>10283</v>
      </c>
      <c r="C16" t="s">
        <v>27</v>
      </c>
      <c r="D16">
        <v>-67335.649999999994</v>
      </c>
      <c r="E16">
        <v>-808027.81</v>
      </c>
      <c r="F16">
        <v>-808024</v>
      </c>
      <c r="G16">
        <v>-797655.57</v>
      </c>
      <c r="H16">
        <v>-797655.57</v>
      </c>
    </row>
    <row r="17" spans="1:8" x14ac:dyDescent="0.2">
      <c r="A17">
        <v>952</v>
      </c>
      <c r="B17">
        <v>10286</v>
      </c>
      <c r="C17" t="s">
        <v>28</v>
      </c>
      <c r="D17">
        <v>0</v>
      </c>
      <c r="E17">
        <v>0</v>
      </c>
      <c r="F17">
        <v>0</v>
      </c>
      <c r="G17">
        <v>0</v>
      </c>
      <c r="H17">
        <v>0</v>
      </c>
    </row>
    <row r="18" spans="1:8" x14ac:dyDescent="0.2">
      <c r="A18">
        <v>952</v>
      </c>
      <c r="B18">
        <v>10287</v>
      </c>
      <c r="C18" t="s">
        <v>29</v>
      </c>
      <c r="D18">
        <v>0</v>
      </c>
      <c r="E18">
        <v>0</v>
      </c>
      <c r="F18">
        <v>0</v>
      </c>
      <c r="G18">
        <v>0</v>
      </c>
      <c r="H18">
        <v>0</v>
      </c>
    </row>
    <row r="19" spans="1:8" x14ac:dyDescent="0.2">
      <c r="A19">
        <v>952</v>
      </c>
      <c r="B19">
        <v>10288</v>
      </c>
      <c r="C19" t="s">
        <v>895</v>
      </c>
      <c r="D19">
        <v>-96295.64</v>
      </c>
      <c r="E19">
        <v>-1155547.7</v>
      </c>
      <c r="F19">
        <v>-1080273</v>
      </c>
      <c r="G19">
        <v>-1080272.1399999999</v>
      </c>
      <c r="H19">
        <v>-1080272.1399999999</v>
      </c>
    </row>
    <row r="20" spans="1:8" x14ac:dyDescent="0.2">
      <c r="A20">
        <v>952</v>
      </c>
      <c r="B20">
        <v>10289</v>
      </c>
      <c r="C20" t="s">
        <v>1247</v>
      </c>
      <c r="D20">
        <v>0</v>
      </c>
      <c r="E20">
        <v>-10000</v>
      </c>
      <c r="F20">
        <v>-10000</v>
      </c>
      <c r="G20">
        <v>-10000</v>
      </c>
      <c r="H20">
        <v>-10000</v>
      </c>
    </row>
    <row r="21" spans="1:8" x14ac:dyDescent="0.2">
      <c r="A21">
        <v>952</v>
      </c>
      <c r="B21">
        <v>10290</v>
      </c>
      <c r="C21" t="s">
        <v>421</v>
      </c>
      <c r="D21">
        <v>-1942165.63</v>
      </c>
      <c r="E21">
        <v>-9507797</v>
      </c>
      <c r="F21">
        <v>-8850000</v>
      </c>
      <c r="G21">
        <v>-8755013.5600000005</v>
      </c>
      <c r="H21">
        <v>-8755013.5600000005</v>
      </c>
    </row>
    <row r="22" spans="1:8" x14ac:dyDescent="0.2">
      <c r="A22">
        <v>952</v>
      </c>
      <c r="B22">
        <v>10299</v>
      </c>
      <c r="C22" t="s">
        <v>422</v>
      </c>
      <c r="D22">
        <v>0</v>
      </c>
      <c r="E22">
        <v>0</v>
      </c>
      <c r="F22">
        <v>0</v>
      </c>
      <c r="G22">
        <v>0</v>
      </c>
      <c r="H22">
        <v>0</v>
      </c>
    </row>
    <row r="23" spans="1:8" x14ac:dyDescent="0.2">
      <c r="A23">
        <v>952</v>
      </c>
      <c r="B23">
        <v>10300</v>
      </c>
      <c r="C23" t="s">
        <v>30</v>
      </c>
      <c r="D23">
        <v>0</v>
      </c>
      <c r="E23">
        <v>-604309.84</v>
      </c>
      <c r="F23">
        <v>-589776</v>
      </c>
      <c r="G23">
        <v>-477895.56</v>
      </c>
      <c r="H23">
        <v>-477895.56</v>
      </c>
    </row>
    <row r="24" spans="1:8" x14ac:dyDescent="0.2">
      <c r="A24">
        <v>952</v>
      </c>
      <c r="B24">
        <v>10310</v>
      </c>
      <c r="C24" t="s">
        <v>31</v>
      </c>
      <c r="D24">
        <v>-8787.4699999999993</v>
      </c>
      <c r="E24">
        <v>-105449.65</v>
      </c>
      <c r="F24">
        <v>-105450</v>
      </c>
      <c r="G24">
        <v>-104096.41</v>
      </c>
      <c r="H24">
        <v>-104096.41</v>
      </c>
    </row>
    <row r="25" spans="1:8" x14ac:dyDescent="0.2">
      <c r="A25">
        <v>952</v>
      </c>
      <c r="B25">
        <v>10315</v>
      </c>
      <c r="C25" t="s">
        <v>32</v>
      </c>
      <c r="D25">
        <v>-24904.54</v>
      </c>
      <c r="E25">
        <v>-298854.34999999998</v>
      </c>
      <c r="F25">
        <v>-295332</v>
      </c>
      <c r="G25">
        <v>-296516.46000000002</v>
      </c>
      <c r="H25">
        <v>-296516.46000000002</v>
      </c>
    </row>
    <row r="26" spans="1:8" x14ac:dyDescent="0.2">
      <c r="A26">
        <v>952</v>
      </c>
      <c r="B26">
        <v>10316</v>
      </c>
      <c r="C26" t="s">
        <v>33</v>
      </c>
      <c r="D26">
        <v>-14912.46</v>
      </c>
      <c r="E26">
        <v>-178949.52</v>
      </c>
      <c r="F26">
        <v>-178950</v>
      </c>
      <c r="G26">
        <v>-176653.05</v>
      </c>
      <c r="H26">
        <v>-176653.05</v>
      </c>
    </row>
    <row r="27" spans="1:8" x14ac:dyDescent="0.2">
      <c r="A27">
        <v>952</v>
      </c>
      <c r="B27">
        <v>10317</v>
      </c>
      <c r="C27" t="s">
        <v>423</v>
      </c>
      <c r="D27">
        <v>0</v>
      </c>
      <c r="E27">
        <v>0</v>
      </c>
      <c r="F27">
        <v>0</v>
      </c>
      <c r="G27">
        <v>0</v>
      </c>
      <c r="H27">
        <v>0</v>
      </c>
    </row>
    <row r="28" spans="1:8" x14ac:dyDescent="0.2">
      <c r="A28">
        <v>952</v>
      </c>
      <c r="B28">
        <v>10318</v>
      </c>
      <c r="C28" t="s">
        <v>34</v>
      </c>
      <c r="D28">
        <v>-14428.69</v>
      </c>
      <c r="E28">
        <v>-177004.36</v>
      </c>
      <c r="F28">
        <v>-173144</v>
      </c>
      <c r="G28">
        <v>-170921.62</v>
      </c>
      <c r="H28">
        <v>-170921.62</v>
      </c>
    </row>
    <row r="29" spans="1:8" x14ac:dyDescent="0.2">
      <c r="A29">
        <v>952</v>
      </c>
      <c r="B29">
        <v>10320</v>
      </c>
      <c r="C29" t="s">
        <v>979</v>
      </c>
      <c r="D29">
        <v>0</v>
      </c>
      <c r="E29">
        <v>0</v>
      </c>
      <c r="F29">
        <v>0</v>
      </c>
      <c r="G29">
        <v>0</v>
      </c>
      <c r="H29">
        <v>0</v>
      </c>
    </row>
    <row r="30" spans="1:8" x14ac:dyDescent="0.2">
      <c r="A30">
        <v>952</v>
      </c>
      <c r="B30">
        <v>10399</v>
      </c>
      <c r="C30" t="s">
        <v>424</v>
      </c>
      <c r="D30">
        <v>0</v>
      </c>
      <c r="E30">
        <v>0</v>
      </c>
      <c r="F30">
        <v>0</v>
      </c>
      <c r="G30">
        <v>0</v>
      </c>
      <c r="H30">
        <v>0</v>
      </c>
    </row>
    <row r="31" spans="1:8" x14ac:dyDescent="0.2">
      <c r="A31">
        <v>952</v>
      </c>
      <c r="B31">
        <v>10400</v>
      </c>
      <c r="C31" t="s">
        <v>425</v>
      </c>
      <c r="D31">
        <v>-44246.55</v>
      </c>
      <c r="E31">
        <v>-98227.25</v>
      </c>
      <c r="F31">
        <v>-54000</v>
      </c>
      <c r="G31">
        <v>-25044.5</v>
      </c>
      <c r="H31">
        <v>-25044.5</v>
      </c>
    </row>
    <row r="32" spans="1:8" x14ac:dyDescent="0.2">
      <c r="A32">
        <v>952</v>
      </c>
      <c r="B32">
        <v>10405</v>
      </c>
      <c r="C32" t="s">
        <v>457</v>
      </c>
      <c r="D32">
        <v>-1200</v>
      </c>
      <c r="E32">
        <v>-7460</v>
      </c>
      <c r="F32">
        <v>-18750</v>
      </c>
      <c r="G32">
        <v>-14149.87</v>
      </c>
      <c r="H32">
        <v>-14149.87</v>
      </c>
    </row>
    <row r="33" spans="1:8" x14ac:dyDescent="0.2">
      <c r="A33">
        <v>952</v>
      </c>
      <c r="B33">
        <v>10410</v>
      </c>
      <c r="C33" t="s">
        <v>426</v>
      </c>
      <c r="D33">
        <v>0</v>
      </c>
      <c r="E33">
        <v>0</v>
      </c>
      <c r="F33">
        <v>0</v>
      </c>
      <c r="G33">
        <v>-25256.43</v>
      </c>
      <c r="H33">
        <v>-25256.43</v>
      </c>
    </row>
    <row r="34" spans="1:8" x14ac:dyDescent="0.2">
      <c r="A34">
        <v>952</v>
      </c>
      <c r="B34">
        <v>10420</v>
      </c>
      <c r="C34" t="s">
        <v>427</v>
      </c>
      <c r="D34">
        <v>0</v>
      </c>
      <c r="E34">
        <v>0</v>
      </c>
      <c r="F34">
        <v>0</v>
      </c>
      <c r="G34">
        <v>0</v>
      </c>
      <c r="H34">
        <v>0</v>
      </c>
    </row>
    <row r="35" spans="1:8" x14ac:dyDescent="0.2">
      <c r="A35">
        <v>952</v>
      </c>
      <c r="B35">
        <v>10430</v>
      </c>
      <c r="C35" t="s">
        <v>35</v>
      </c>
      <c r="D35">
        <v>-1930</v>
      </c>
      <c r="E35">
        <v>-13039.56</v>
      </c>
      <c r="F35">
        <v>-18830</v>
      </c>
      <c r="G35">
        <v>-18829.560000000001</v>
      </c>
      <c r="H35">
        <v>-18829.560000000001</v>
      </c>
    </row>
    <row r="36" spans="1:8" x14ac:dyDescent="0.2">
      <c r="A36">
        <v>952</v>
      </c>
      <c r="B36">
        <v>10440</v>
      </c>
      <c r="C36" t="s">
        <v>428</v>
      </c>
      <c r="D36">
        <v>0</v>
      </c>
      <c r="E36">
        <v>0</v>
      </c>
      <c r="F36">
        <v>0</v>
      </c>
      <c r="G36">
        <v>0</v>
      </c>
      <c r="H36">
        <v>0</v>
      </c>
    </row>
    <row r="37" spans="1:8" x14ac:dyDescent="0.2">
      <c r="A37">
        <v>952</v>
      </c>
      <c r="B37">
        <v>10450</v>
      </c>
      <c r="C37" t="s">
        <v>429</v>
      </c>
      <c r="D37">
        <v>0</v>
      </c>
      <c r="E37">
        <v>0</v>
      </c>
      <c r="F37">
        <v>0</v>
      </c>
      <c r="G37">
        <v>0</v>
      </c>
      <c r="H37">
        <v>0</v>
      </c>
    </row>
    <row r="38" spans="1:8" x14ac:dyDescent="0.2">
      <c r="A38">
        <v>952</v>
      </c>
      <c r="B38">
        <v>10529</v>
      </c>
      <c r="C38" t="s">
        <v>430</v>
      </c>
      <c r="D38">
        <v>0</v>
      </c>
      <c r="E38">
        <v>0</v>
      </c>
      <c r="F38">
        <v>0</v>
      </c>
      <c r="G38">
        <v>0</v>
      </c>
      <c r="H38">
        <v>0</v>
      </c>
    </row>
    <row r="39" spans="1:8" x14ac:dyDescent="0.2">
      <c r="A39">
        <v>952</v>
      </c>
      <c r="B39">
        <v>10530</v>
      </c>
      <c r="C39" t="s">
        <v>431</v>
      </c>
      <c r="D39">
        <v>-58407.94</v>
      </c>
      <c r="E39">
        <v>-303683.08</v>
      </c>
      <c r="F39">
        <v>-140000</v>
      </c>
      <c r="G39">
        <v>-276158.87</v>
      </c>
      <c r="H39">
        <v>-276158.87</v>
      </c>
    </row>
    <row r="40" spans="1:8" x14ac:dyDescent="0.2">
      <c r="A40">
        <v>952</v>
      </c>
      <c r="B40">
        <v>10600</v>
      </c>
      <c r="C40" t="s">
        <v>432</v>
      </c>
      <c r="D40">
        <v>0</v>
      </c>
      <c r="E40">
        <v>0</v>
      </c>
      <c r="F40">
        <v>0</v>
      </c>
      <c r="G40">
        <v>0</v>
      </c>
      <c r="H40">
        <v>0</v>
      </c>
    </row>
    <row r="41" spans="1:8" x14ac:dyDescent="0.2">
      <c r="A41">
        <v>952</v>
      </c>
      <c r="B41">
        <v>10601</v>
      </c>
      <c r="C41" t="s">
        <v>433</v>
      </c>
      <c r="D41">
        <v>0</v>
      </c>
      <c r="E41">
        <v>0</v>
      </c>
      <c r="F41">
        <v>0</v>
      </c>
      <c r="G41">
        <v>0</v>
      </c>
      <c r="H41">
        <v>0</v>
      </c>
    </row>
    <row r="42" spans="1:8" x14ac:dyDescent="0.2">
      <c r="A42">
        <v>952</v>
      </c>
      <c r="B42">
        <v>10640</v>
      </c>
      <c r="C42" t="s">
        <v>434</v>
      </c>
      <c r="D42">
        <v>0</v>
      </c>
      <c r="E42">
        <v>-280</v>
      </c>
      <c r="F42">
        <v>-100</v>
      </c>
      <c r="G42">
        <v>-300</v>
      </c>
      <c r="H42">
        <v>-300</v>
      </c>
    </row>
    <row r="43" spans="1:8" x14ac:dyDescent="0.2">
      <c r="A43">
        <v>952</v>
      </c>
      <c r="B43">
        <v>10660</v>
      </c>
      <c r="C43" t="s">
        <v>435</v>
      </c>
      <c r="D43">
        <v>-25</v>
      </c>
      <c r="E43">
        <v>-800</v>
      </c>
      <c r="F43">
        <v>-250</v>
      </c>
      <c r="G43">
        <v>-26200</v>
      </c>
      <c r="H43">
        <v>-26200</v>
      </c>
    </row>
    <row r="44" spans="1:8" x14ac:dyDescent="0.2">
      <c r="A44">
        <v>952</v>
      </c>
      <c r="B44">
        <v>10700</v>
      </c>
      <c r="C44" t="s">
        <v>36</v>
      </c>
      <c r="D44">
        <v>0</v>
      </c>
      <c r="E44">
        <v>0</v>
      </c>
      <c r="F44">
        <v>0</v>
      </c>
      <c r="G44">
        <v>-5000</v>
      </c>
      <c r="H44">
        <v>-5000</v>
      </c>
    </row>
    <row r="45" spans="1:8" x14ac:dyDescent="0.2">
      <c r="A45">
        <v>952</v>
      </c>
      <c r="B45">
        <v>10710</v>
      </c>
      <c r="C45" t="s">
        <v>436</v>
      </c>
      <c r="D45">
        <v>-450.91</v>
      </c>
      <c r="E45">
        <v>-1111.77</v>
      </c>
      <c r="F45">
        <v>-750</v>
      </c>
      <c r="G45">
        <v>-1229.67</v>
      </c>
      <c r="H45">
        <v>-1229.67</v>
      </c>
    </row>
    <row r="46" spans="1:8" x14ac:dyDescent="0.2">
      <c r="A46">
        <v>952</v>
      </c>
      <c r="B46">
        <v>10800</v>
      </c>
      <c r="C46" t="s">
        <v>437</v>
      </c>
      <c r="D46">
        <v>0</v>
      </c>
      <c r="E46">
        <v>0</v>
      </c>
      <c r="F46">
        <v>0</v>
      </c>
      <c r="G46">
        <v>0</v>
      </c>
      <c r="H46">
        <v>0</v>
      </c>
    </row>
    <row r="47" spans="1:8" x14ac:dyDescent="0.2">
      <c r="A47">
        <v>952</v>
      </c>
      <c r="B47">
        <v>10801</v>
      </c>
      <c r="C47" t="s">
        <v>438</v>
      </c>
      <c r="D47">
        <v>0</v>
      </c>
      <c r="E47">
        <v>0</v>
      </c>
      <c r="F47">
        <v>0</v>
      </c>
      <c r="G47">
        <v>0</v>
      </c>
      <c r="H47">
        <v>0</v>
      </c>
    </row>
    <row r="48" spans="1:8" x14ac:dyDescent="0.2">
      <c r="A48">
        <v>952</v>
      </c>
      <c r="B48">
        <v>10850</v>
      </c>
      <c r="C48" t="s">
        <v>55</v>
      </c>
      <c r="D48">
        <v>0</v>
      </c>
      <c r="E48">
        <v>0</v>
      </c>
      <c r="F48">
        <v>0</v>
      </c>
      <c r="G48">
        <v>0</v>
      </c>
      <c r="H48">
        <v>0</v>
      </c>
    </row>
    <row r="49" spans="1:8" x14ac:dyDescent="0.2">
      <c r="A49">
        <v>952</v>
      </c>
      <c r="B49">
        <v>10890</v>
      </c>
      <c r="C49" t="s">
        <v>439</v>
      </c>
      <c r="D49">
        <v>-4925</v>
      </c>
      <c r="E49">
        <v>-23725</v>
      </c>
      <c r="F49">
        <v>-17000</v>
      </c>
      <c r="G49">
        <v>-26325</v>
      </c>
      <c r="H49">
        <v>-26325</v>
      </c>
    </row>
    <row r="50" spans="1:8" x14ac:dyDescent="0.2">
      <c r="A50">
        <v>952</v>
      </c>
      <c r="B50">
        <v>10895</v>
      </c>
      <c r="C50" t="s">
        <v>440</v>
      </c>
      <c r="D50">
        <v>0</v>
      </c>
      <c r="E50">
        <v>0</v>
      </c>
      <c r="F50">
        <v>0</v>
      </c>
      <c r="G50">
        <v>0</v>
      </c>
      <c r="H50">
        <v>0</v>
      </c>
    </row>
    <row r="51" spans="1:8" x14ac:dyDescent="0.2">
      <c r="A51">
        <v>952</v>
      </c>
      <c r="B51">
        <v>10900</v>
      </c>
      <c r="C51" t="s">
        <v>441</v>
      </c>
      <c r="D51">
        <v>-3475.37</v>
      </c>
      <c r="E51">
        <v>-27045.91</v>
      </c>
      <c r="F51">
        <v>-22000</v>
      </c>
      <c r="G51">
        <v>-23506.98</v>
      </c>
      <c r="H51">
        <v>-23506.98</v>
      </c>
    </row>
    <row r="52" spans="1:8" x14ac:dyDescent="0.2">
      <c r="A52">
        <v>952</v>
      </c>
      <c r="B52">
        <v>10901</v>
      </c>
      <c r="C52" t="s">
        <v>442</v>
      </c>
      <c r="D52">
        <v>-1803.61</v>
      </c>
      <c r="E52">
        <v>-1717.88</v>
      </c>
      <c r="F52">
        <v>0</v>
      </c>
      <c r="G52">
        <v>7191.02</v>
      </c>
      <c r="H52">
        <v>7191.02</v>
      </c>
    </row>
    <row r="53" spans="1:8" x14ac:dyDescent="0.2">
      <c r="A53">
        <v>952</v>
      </c>
      <c r="B53">
        <v>10902</v>
      </c>
      <c r="C53" t="s">
        <v>37</v>
      </c>
      <c r="D53">
        <v>0</v>
      </c>
      <c r="E53">
        <v>173144</v>
      </c>
      <c r="F53">
        <v>170922</v>
      </c>
      <c r="G53">
        <v>170972.01</v>
      </c>
      <c r="H53">
        <v>170972.01</v>
      </c>
    </row>
    <row r="54" spans="1:8" x14ac:dyDescent="0.2">
      <c r="A54">
        <v>952</v>
      </c>
      <c r="B54">
        <v>10903</v>
      </c>
      <c r="C54" t="s">
        <v>38</v>
      </c>
      <c r="D54">
        <v>0</v>
      </c>
      <c r="E54">
        <v>0</v>
      </c>
      <c r="F54">
        <v>0</v>
      </c>
      <c r="G54">
        <v>0</v>
      </c>
      <c r="H54">
        <v>0</v>
      </c>
    </row>
    <row r="55" spans="1:8" x14ac:dyDescent="0.2">
      <c r="A55">
        <v>952</v>
      </c>
      <c r="B55">
        <v>10990</v>
      </c>
      <c r="C55" t="s">
        <v>419</v>
      </c>
      <c r="D55">
        <v>0</v>
      </c>
      <c r="E55">
        <v>0</v>
      </c>
      <c r="F55">
        <v>0</v>
      </c>
      <c r="G55">
        <v>0</v>
      </c>
      <c r="H55">
        <v>0</v>
      </c>
    </row>
    <row r="56" spans="1:8" x14ac:dyDescent="0.2">
      <c r="A56">
        <v>952</v>
      </c>
      <c r="B56">
        <v>1597</v>
      </c>
      <c r="C56" t="s">
        <v>1145</v>
      </c>
      <c r="D56">
        <v>476.44</v>
      </c>
      <c r="E56">
        <v>12848.26</v>
      </c>
      <c r="F56">
        <v>6241</v>
      </c>
      <c r="G56">
        <v>11528.19</v>
      </c>
      <c r="H56">
        <v>11528.19</v>
      </c>
    </row>
    <row r="57" spans="1:8" x14ac:dyDescent="0.2">
      <c r="A57">
        <v>952</v>
      </c>
      <c r="B57">
        <v>1900</v>
      </c>
      <c r="C57" t="s">
        <v>443</v>
      </c>
      <c r="D57">
        <v>-897019.75</v>
      </c>
      <c r="E57">
        <v>-2386322</v>
      </c>
      <c r="F57">
        <v>-1696984</v>
      </c>
      <c r="G57">
        <v>-2386322</v>
      </c>
      <c r="H57">
        <v>-2386322</v>
      </c>
    </row>
    <row r="58" spans="1:8" x14ac:dyDescent="0.2">
      <c r="A58">
        <v>952</v>
      </c>
      <c r="B58">
        <v>1905</v>
      </c>
      <c r="C58" t="s">
        <v>443</v>
      </c>
      <c r="D58">
        <v>897019.75</v>
      </c>
      <c r="E58">
        <v>2386322</v>
      </c>
      <c r="F58">
        <v>1696984</v>
      </c>
      <c r="G58">
        <v>2386322</v>
      </c>
      <c r="H58">
        <v>2386322</v>
      </c>
    </row>
    <row r="59" spans="1:8" x14ac:dyDescent="0.2">
      <c r="A59">
        <v>952</v>
      </c>
      <c r="B59">
        <v>1999</v>
      </c>
      <c r="C59" t="s">
        <v>979</v>
      </c>
      <c r="D59">
        <v>320</v>
      </c>
      <c r="E59">
        <v>320</v>
      </c>
      <c r="F59">
        <v>0</v>
      </c>
      <c r="G59">
        <v>14720</v>
      </c>
      <c r="H59">
        <v>14720</v>
      </c>
    </row>
    <row r="60" spans="1:8" x14ac:dyDescent="0.2">
      <c r="A60">
        <v>952</v>
      </c>
      <c r="B60">
        <v>20999</v>
      </c>
      <c r="C60" t="s">
        <v>444</v>
      </c>
      <c r="D60">
        <v>0</v>
      </c>
      <c r="E60">
        <v>0</v>
      </c>
      <c r="F60">
        <v>0</v>
      </c>
      <c r="G60">
        <v>0</v>
      </c>
      <c r="H60">
        <v>0</v>
      </c>
    </row>
    <row r="61" spans="1:8" x14ac:dyDescent="0.2">
      <c r="A61">
        <v>952</v>
      </c>
      <c r="B61">
        <v>21000</v>
      </c>
      <c r="C61" t="s">
        <v>445</v>
      </c>
      <c r="D61">
        <v>83.04</v>
      </c>
      <c r="E61">
        <v>-308.27999999999997</v>
      </c>
      <c r="F61">
        <v>-150</v>
      </c>
      <c r="G61">
        <v>-367.39</v>
      </c>
      <c r="H61">
        <v>-367.39</v>
      </c>
    </row>
    <row r="62" spans="1:8" x14ac:dyDescent="0.2">
      <c r="A62">
        <v>952</v>
      </c>
      <c r="B62">
        <v>21100</v>
      </c>
      <c r="C62" t="s">
        <v>446</v>
      </c>
      <c r="D62">
        <v>0</v>
      </c>
      <c r="E62">
        <v>0</v>
      </c>
      <c r="F62">
        <v>0</v>
      </c>
      <c r="G62">
        <v>0</v>
      </c>
      <c r="H62">
        <v>0</v>
      </c>
    </row>
    <row r="63" spans="1:8" x14ac:dyDescent="0.2">
      <c r="A63">
        <v>952</v>
      </c>
      <c r="B63">
        <v>21110</v>
      </c>
      <c r="C63" t="s">
        <v>447</v>
      </c>
      <c r="D63">
        <v>0</v>
      </c>
      <c r="E63">
        <v>0</v>
      </c>
      <c r="F63">
        <v>0</v>
      </c>
      <c r="G63">
        <v>0</v>
      </c>
      <c r="H63">
        <v>0</v>
      </c>
    </row>
    <row r="64" spans="1:8" x14ac:dyDescent="0.2">
      <c r="A64">
        <v>952</v>
      </c>
      <c r="B64">
        <v>21170</v>
      </c>
      <c r="C64" t="s">
        <v>448</v>
      </c>
      <c r="D64">
        <v>0</v>
      </c>
      <c r="E64">
        <v>0</v>
      </c>
      <c r="F64">
        <v>0</v>
      </c>
      <c r="G64">
        <v>0</v>
      </c>
      <c r="H64">
        <v>0</v>
      </c>
    </row>
    <row r="65" spans="1:8" x14ac:dyDescent="0.2">
      <c r="A65">
        <v>952</v>
      </c>
      <c r="B65">
        <v>21800</v>
      </c>
      <c r="C65" t="s">
        <v>449</v>
      </c>
      <c r="D65">
        <v>0</v>
      </c>
      <c r="E65">
        <v>0</v>
      </c>
      <c r="F65">
        <v>0</v>
      </c>
      <c r="G65">
        <v>0</v>
      </c>
      <c r="H65">
        <v>0</v>
      </c>
    </row>
    <row r="66" spans="1:8" x14ac:dyDescent="0.2">
      <c r="A66">
        <v>952</v>
      </c>
      <c r="B66">
        <v>21900</v>
      </c>
      <c r="C66" t="s">
        <v>450</v>
      </c>
      <c r="D66">
        <v>0</v>
      </c>
      <c r="E66">
        <v>0</v>
      </c>
      <c r="F66">
        <v>0</v>
      </c>
      <c r="G66">
        <v>0</v>
      </c>
      <c r="H66">
        <v>0</v>
      </c>
    </row>
    <row r="67" spans="1:8" x14ac:dyDescent="0.2">
      <c r="A67">
        <v>952</v>
      </c>
      <c r="B67">
        <v>22000</v>
      </c>
      <c r="C67" t="s">
        <v>451</v>
      </c>
      <c r="D67">
        <v>0</v>
      </c>
      <c r="E67">
        <v>-756.47</v>
      </c>
      <c r="F67">
        <v>-8000</v>
      </c>
      <c r="G67">
        <v>-852.11</v>
      </c>
      <c r="H67">
        <v>-852.11</v>
      </c>
    </row>
    <row r="68" spans="1:8" x14ac:dyDescent="0.2">
      <c r="A68">
        <v>952</v>
      </c>
      <c r="B68">
        <v>22100</v>
      </c>
      <c r="C68" t="s">
        <v>452</v>
      </c>
      <c r="D68">
        <v>100</v>
      </c>
      <c r="E68">
        <v>694.35</v>
      </c>
      <c r="F68">
        <v>8000</v>
      </c>
      <c r="G68">
        <v>820</v>
      </c>
      <c r="H68">
        <v>820</v>
      </c>
    </row>
    <row r="69" spans="1:8" x14ac:dyDescent="0.2">
      <c r="A69">
        <v>952</v>
      </c>
      <c r="B69">
        <v>22200</v>
      </c>
      <c r="C69" t="s">
        <v>453</v>
      </c>
      <c r="D69">
        <v>0</v>
      </c>
      <c r="E69">
        <v>0</v>
      </c>
      <c r="F69">
        <v>0</v>
      </c>
      <c r="G69">
        <v>-69.569999999999993</v>
      </c>
      <c r="H69">
        <v>-69.569999999999993</v>
      </c>
    </row>
    <row r="70" spans="1:8" x14ac:dyDescent="0.2">
      <c r="A70">
        <v>952</v>
      </c>
      <c r="B70">
        <v>22300</v>
      </c>
      <c r="C70" t="s">
        <v>454</v>
      </c>
      <c r="D70">
        <v>0</v>
      </c>
      <c r="E70">
        <v>3147.82</v>
      </c>
      <c r="F70">
        <v>0</v>
      </c>
      <c r="G70">
        <v>3272.52</v>
      </c>
      <c r="H70">
        <v>3272.52</v>
      </c>
    </row>
    <row r="71" spans="1:8" x14ac:dyDescent="0.2">
      <c r="A71">
        <v>952</v>
      </c>
      <c r="B71">
        <v>22400</v>
      </c>
      <c r="C71" t="s">
        <v>455</v>
      </c>
      <c r="D71">
        <v>0</v>
      </c>
      <c r="E71">
        <v>-34.78</v>
      </c>
      <c r="F71">
        <v>-350</v>
      </c>
      <c r="G71">
        <v>-360</v>
      </c>
      <c r="H71">
        <v>-360</v>
      </c>
    </row>
    <row r="72" spans="1:8" x14ac:dyDescent="0.2">
      <c r="A72">
        <v>952</v>
      </c>
      <c r="B72">
        <v>22500</v>
      </c>
      <c r="C72" t="s">
        <v>456</v>
      </c>
      <c r="D72">
        <v>0</v>
      </c>
      <c r="E72">
        <v>0</v>
      </c>
      <c r="F72">
        <v>0</v>
      </c>
      <c r="G72">
        <v>0</v>
      </c>
      <c r="H72">
        <v>0</v>
      </c>
    </row>
    <row r="73" spans="1:8" x14ac:dyDescent="0.2">
      <c r="A73">
        <v>952</v>
      </c>
      <c r="B73">
        <v>23000</v>
      </c>
      <c r="C73" t="s">
        <v>458</v>
      </c>
      <c r="D73">
        <v>0</v>
      </c>
      <c r="E73">
        <v>0</v>
      </c>
      <c r="F73">
        <v>0</v>
      </c>
      <c r="G73">
        <v>0</v>
      </c>
      <c r="H73">
        <v>0</v>
      </c>
    </row>
    <row r="74" spans="1:8" x14ac:dyDescent="0.2">
      <c r="A74">
        <v>952</v>
      </c>
      <c r="B74">
        <v>23200</v>
      </c>
      <c r="C74" t="s">
        <v>459</v>
      </c>
      <c r="D74">
        <v>-37.39</v>
      </c>
      <c r="E74">
        <v>1455.93</v>
      </c>
      <c r="F74">
        <v>0</v>
      </c>
      <c r="G74">
        <v>-8834.73</v>
      </c>
      <c r="H74">
        <v>-8834.73</v>
      </c>
    </row>
    <row r="75" spans="1:8" x14ac:dyDescent="0.2">
      <c r="A75">
        <v>952</v>
      </c>
      <c r="B75">
        <v>23300</v>
      </c>
      <c r="C75" t="s">
        <v>460</v>
      </c>
      <c r="D75">
        <v>106</v>
      </c>
      <c r="E75">
        <v>1862.28</v>
      </c>
      <c r="F75">
        <v>0</v>
      </c>
      <c r="G75">
        <v>3801.34</v>
      </c>
      <c r="H75">
        <v>3801.34</v>
      </c>
    </row>
    <row r="76" spans="1:8" x14ac:dyDescent="0.2">
      <c r="A76">
        <v>952</v>
      </c>
      <c r="B76">
        <v>23400</v>
      </c>
      <c r="C76" t="s">
        <v>221</v>
      </c>
      <c r="D76">
        <v>-4701.82</v>
      </c>
      <c r="E76">
        <v>-12988.38</v>
      </c>
      <c r="F76">
        <v>-4500</v>
      </c>
      <c r="G76">
        <v>-7343.22</v>
      </c>
      <c r="H76">
        <v>-7343.22</v>
      </c>
    </row>
    <row r="77" spans="1:8" x14ac:dyDescent="0.2">
      <c r="A77">
        <v>952</v>
      </c>
      <c r="B77">
        <v>23500</v>
      </c>
      <c r="C77" t="s">
        <v>222</v>
      </c>
      <c r="D77">
        <v>3500.43</v>
      </c>
      <c r="E77">
        <v>4754.0200000000004</v>
      </c>
      <c r="F77">
        <v>0</v>
      </c>
      <c r="G77">
        <v>0</v>
      </c>
      <c r="H77">
        <v>0</v>
      </c>
    </row>
    <row r="78" spans="1:8" x14ac:dyDescent="0.2">
      <c r="A78">
        <v>952</v>
      </c>
      <c r="B78">
        <v>23600</v>
      </c>
      <c r="C78" t="s">
        <v>461</v>
      </c>
      <c r="D78">
        <v>0</v>
      </c>
      <c r="E78">
        <v>0</v>
      </c>
      <c r="F78">
        <v>0</v>
      </c>
      <c r="G78">
        <v>0</v>
      </c>
      <c r="H78">
        <v>0</v>
      </c>
    </row>
    <row r="79" spans="1:8" x14ac:dyDescent="0.2">
      <c r="A79">
        <v>952</v>
      </c>
      <c r="B79">
        <v>23700</v>
      </c>
      <c r="C79" t="s">
        <v>462</v>
      </c>
      <c r="D79">
        <v>0</v>
      </c>
      <c r="E79">
        <v>0</v>
      </c>
      <c r="F79">
        <v>0</v>
      </c>
      <c r="G79">
        <v>0</v>
      </c>
      <c r="H79">
        <v>0</v>
      </c>
    </row>
    <row r="80" spans="1:8" x14ac:dyDescent="0.2">
      <c r="A80">
        <v>952</v>
      </c>
      <c r="B80">
        <v>24000</v>
      </c>
      <c r="C80" t="s">
        <v>463</v>
      </c>
      <c r="D80">
        <v>0</v>
      </c>
      <c r="E80">
        <v>0</v>
      </c>
      <c r="F80">
        <v>0</v>
      </c>
      <c r="G80">
        <v>0</v>
      </c>
      <c r="H80">
        <v>0</v>
      </c>
    </row>
    <row r="81" spans="1:8" x14ac:dyDescent="0.2">
      <c r="A81">
        <v>952</v>
      </c>
      <c r="B81">
        <v>24100</v>
      </c>
      <c r="C81" t="s">
        <v>464</v>
      </c>
      <c r="D81">
        <v>0</v>
      </c>
      <c r="E81">
        <v>0</v>
      </c>
      <c r="F81">
        <v>0</v>
      </c>
      <c r="G81">
        <v>0</v>
      </c>
      <c r="H81">
        <v>0</v>
      </c>
    </row>
    <row r="82" spans="1:8" x14ac:dyDescent="0.2">
      <c r="A82">
        <v>952</v>
      </c>
      <c r="B82">
        <v>24200</v>
      </c>
      <c r="C82" t="s">
        <v>465</v>
      </c>
      <c r="D82">
        <v>0</v>
      </c>
      <c r="E82">
        <v>-1101.47</v>
      </c>
      <c r="F82">
        <v>-1000</v>
      </c>
      <c r="G82">
        <v>-2248.87</v>
      </c>
      <c r="H82">
        <v>-2248.87</v>
      </c>
    </row>
    <row r="83" spans="1:8" x14ac:dyDescent="0.2">
      <c r="A83">
        <v>952</v>
      </c>
      <c r="B83">
        <v>24300</v>
      </c>
      <c r="C83" t="s">
        <v>466</v>
      </c>
      <c r="D83">
        <v>0</v>
      </c>
      <c r="E83">
        <v>1225.5</v>
      </c>
      <c r="F83">
        <v>1000</v>
      </c>
      <c r="G83">
        <v>2162.73</v>
      </c>
      <c r="H83">
        <v>2162.73</v>
      </c>
    </row>
    <row r="84" spans="1:8" x14ac:dyDescent="0.2">
      <c r="A84">
        <v>952</v>
      </c>
      <c r="B84">
        <v>24400</v>
      </c>
      <c r="C84" t="s">
        <v>39</v>
      </c>
      <c r="D84">
        <v>-4694.42</v>
      </c>
      <c r="E84">
        <v>-34084.99</v>
      </c>
      <c r="F84">
        <v>-44000</v>
      </c>
      <c r="G84">
        <v>-37383.79</v>
      </c>
      <c r="H84">
        <v>-37383.79</v>
      </c>
    </row>
    <row r="85" spans="1:8" x14ac:dyDescent="0.2">
      <c r="A85">
        <v>952</v>
      </c>
      <c r="B85">
        <v>24500</v>
      </c>
      <c r="C85" t="s">
        <v>40</v>
      </c>
      <c r="D85">
        <v>175</v>
      </c>
      <c r="E85">
        <v>21121.19</v>
      </c>
      <c r="F85">
        <v>44000</v>
      </c>
      <c r="G85">
        <v>1397.65</v>
      </c>
      <c r="H85">
        <v>1397.65</v>
      </c>
    </row>
    <row r="86" spans="1:8" x14ac:dyDescent="0.2">
      <c r="A86">
        <v>952</v>
      </c>
      <c r="B86">
        <v>24600</v>
      </c>
      <c r="C86" t="s">
        <v>41</v>
      </c>
      <c r="D86">
        <v>-3.11</v>
      </c>
      <c r="E86">
        <v>-1299.17</v>
      </c>
      <c r="F86">
        <v>-200</v>
      </c>
      <c r="G86">
        <v>-161.72999999999999</v>
      </c>
      <c r="H86">
        <v>-161.72999999999999</v>
      </c>
    </row>
    <row r="87" spans="1:8" x14ac:dyDescent="0.2">
      <c r="A87">
        <v>952</v>
      </c>
      <c r="B87">
        <v>24650</v>
      </c>
      <c r="C87" t="s">
        <v>42</v>
      </c>
      <c r="D87">
        <v>204.35</v>
      </c>
      <c r="E87">
        <v>1179.51</v>
      </c>
      <c r="F87">
        <v>200</v>
      </c>
      <c r="G87">
        <v>2718.63</v>
      </c>
      <c r="H87">
        <v>2718.63</v>
      </c>
    </row>
    <row r="88" spans="1:8" x14ac:dyDescent="0.2">
      <c r="A88">
        <v>952</v>
      </c>
      <c r="B88">
        <v>24700</v>
      </c>
      <c r="C88" t="s">
        <v>43</v>
      </c>
      <c r="D88">
        <v>-31.29</v>
      </c>
      <c r="E88">
        <v>-558.24</v>
      </c>
      <c r="F88">
        <v>-200</v>
      </c>
      <c r="G88">
        <v>-173.86</v>
      </c>
      <c r="H88">
        <v>-173.86</v>
      </c>
    </row>
    <row r="89" spans="1:8" x14ac:dyDescent="0.2">
      <c r="A89">
        <v>952</v>
      </c>
      <c r="B89">
        <v>24750</v>
      </c>
      <c r="C89" t="s">
        <v>44</v>
      </c>
      <c r="D89">
        <v>0</v>
      </c>
      <c r="E89">
        <v>-17.39</v>
      </c>
      <c r="F89">
        <v>200</v>
      </c>
      <c r="G89">
        <v>128.6</v>
      </c>
      <c r="H89">
        <v>128.6</v>
      </c>
    </row>
    <row r="90" spans="1:8" x14ac:dyDescent="0.2">
      <c r="A90">
        <v>952</v>
      </c>
      <c r="B90">
        <v>24800</v>
      </c>
      <c r="C90" t="s">
        <v>45</v>
      </c>
      <c r="D90">
        <v>0</v>
      </c>
      <c r="E90">
        <v>0</v>
      </c>
      <c r="F90">
        <v>0</v>
      </c>
      <c r="G90">
        <v>0</v>
      </c>
      <c r="H90">
        <v>0</v>
      </c>
    </row>
    <row r="91" spans="1:8" x14ac:dyDescent="0.2">
      <c r="A91">
        <v>952</v>
      </c>
      <c r="B91">
        <v>24801</v>
      </c>
      <c r="C91" t="s">
        <v>46</v>
      </c>
      <c r="D91">
        <v>0</v>
      </c>
      <c r="E91">
        <v>0</v>
      </c>
      <c r="F91">
        <v>0</v>
      </c>
      <c r="G91">
        <v>0</v>
      </c>
      <c r="H91">
        <v>0</v>
      </c>
    </row>
    <row r="92" spans="1:8" x14ac:dyDescent="0.2">
      <c r="A92">
        <v>952</v>
      </c>
      <c r="B92">
        <v>24802</v>
      </c>
      <c r="C92" t="s">
        <v>47</v>
      </c>
      <c r="D92">
        <v>-717.6</v>
      </c>
      <c r="E92">
        <v>-1154.1300000000001</v>
      </c>
      <c r="F92">
        <v>-1500</v>
      </c>
      <c r="G92">
        <v>-1405.86</v>
      </c>
      <c r="H92">
        <v>-1405.86</v>
      </c>
    </row>
    <row r="93" spans="1:8" x14ac:dyDescent="0.2">
      <c r="A93">
        <v>952</v>
      </c>
      <c r="B93">
        <v>24803</v>
      </c>
      <c r="C93" t="s">
        <v>48</v>
      </c>
      <c r="D93">
        <v>0</v>
      </c>
      <c r="E93">
        <v>436.53</v>
      </c>
      <c r="F93">
        <v>1500</v>
      </c>
      <c r="G93">
        <v>35.799999999999997</v>
      </c>
      <c r="H93">
        <v>35.799999999999997</v>
      </c>
    </row>
    <row r="94" spans="1:8" x14ac:dyDescent="0.2">
      <c r="A94">
        <v>952</v>
      </c>
      <c r="B94">
        <v>24820</v>
      </c>
      <c r="C94" t="s">
        <v>49</v>
      </c>
      <c r="D94">
        <v>0</v>
      </c>
      <c r="E94">
        <v>0</v>
      </c>
      <c r="F94">
        <v>-1000</v>
      </c>
      <c r="G94">
        <v>-469.56</v>
      </c>
      <c r="H94">
        <v>-469.56</v>
      </c>
    </row>
    <row r="95" spans="1:8" x14ac:dyDescent="0.2">
      <c r="A95">
        <v>952</v>
      </c>
      <c r="B95">
        <v>24821</v>
      </c>
      <c r="C95" t="s">
        <v>50</v>
      </c>
      <c r="D95">
        <v>0</v>
      </c>
      <c r="E95">
        <v>0</v>
      </c>
      <c r="F95">
        <v>1000</v>
      </c>
      <c r="G95">
        <v>228.07</v>
      </c>
      <c r="H95">
        <v>228.07</v>
      </c>
    </row>
    <row r="96" spans="1:8" x14ac:dyDescent="0.2">
      <c r="A96">
        <v>952</v>
      </c>
      <c r="B96">
        <v>24830</v>
      </c>
      <c r="C96" t="s">
        <v>51</v>
      </c>
      <c r="D96">
        <v>-659.9</v>
      </c>
      <c r="E96">
        <v>-35319.910000000003</v>
      </c>
      <c r="F96">
        <v>-21100</v>
      </c>
      <c r="G96">
        <v>-29578.98</v>
      </c>
      <c r="H96">
        <v>-29578.98</v>
      </c>
    </row>
    <row r="97" spans="1:8" x14ac:dyDescent="0.2">
      <c r="A97">
        <v>952</v>
      </c>
      <c r="B97">
        <v>24831</v>
      </c>
      <c r="C97" t="s">
        <v>52</v>
      </c>
      <c r="D97">
        <v>0</v>
      </c>
      <c r="E97">
        <v>9944.7800000000007</v>
      </c>
      <c r="F97">
        <v>21100</v>
      </c>
      <c r="G97">
        <v>15187.3</v>
      </c>
      <c r="H97">
        <v>15187.3</v>
      </c>
    </row>
    <row r="98" spans="1:8" x14ac:dyDescent="0.2">
      <c r="A98">
        <v>952</v>
      </c>
      <c r="B98">
        <v>24840</v>
      </c>
      <c r="C98" t="s">
        <v>53</v>
      </c>
      <c r="D98">
        <v>-3316.35</v>
      </c>
      <c r="E98">
        <v>-13948.14</v>
      </c>
      <c r="F98">
        <v>-750</v>
      </c>
      <c r="G98">
        <v>-792.76</v>
      </c>
      <c r="H98">
        <v>-792.76</v>
      </c>
    </row>
    <row r="99" spans="1:8" x14ac:dyDescent="0.2">
      <c r="A99">
        <v>952</v>
      </c>
      <c r="B99">
        <v>24841</v>
      </c>
      <c r="C99" t="s">
        <v>467</v>
      </c>
      <c r="D99">
        <v>41.3</v>
      </c>
      <c r="E99">
        <v>82.59</v>
      </c>
      <c r="F99">
        <v>750</v>
      </c>
      <c r="G99">
        <v>272.58999999999997</v>
      </c>
      <c r="H99">
        <v>272.58999999999997</v>
      </c>
    </row>
    <row r="100" spans="1:8" x14ac:dyDescent="0.2">
      <c r="A100">
        <v>952</v>
      </c>
      <c r="B100">
        <v>24850</v>
      </c>
      <c r="C100" t="s">
        <v>54</v>
      </c>
      <c r="D100">
        <v>0</v>
      </c>
      <c r="E100">
        <v>-1168.3699999999999</v>
      </c>
      <c r="F100">
        <v>-1800</v>
      </c>
      <c r="G100">
        <v>-1455.82</v>
      </c>
      <c r="H100">
        <v>-1455.82</v>
      </c>
    </row>
    <row r="101" spans="1:8" x14ac:dyDescent="0.2">
      <c r="A101">
        <v>952</v>
      </c>
      <c r="B101">
        <v>24851</v>
      </c>
      <c r="C101" t="s">
        <v>64</v>
      </c>
      <c r="D101">
        <v>0</v>
      </c>
      <c r="E101">
        <v>487.54</v>
      </c>
      <c r="F101">
        <v>1800</v>
      </c>
      <c r="G101">
        <v>1132.55</v>
      </c>
      <c r="H101">
        <v>1132.55</v>
      </c>
    </row>
    <row r="102" spans="1:8" x14ac:dyDescent="0.2">
      <c r="A102">
        <v>952</v>
      </c>
      <c r="B102">
        <v>24860</v>
      </c>
      <c r="C102" t="s">
        <v>65</v>
      </c>
      <c r="D102">
        <v>-2022.39</v>
      </c>
      <c r="E102">
        <v>-12469.21</v>
      </c>
      <c r="F102">
        <v>-14573</v>
      </c>
      <c r="G102">
        <v>-21233.39</v>
      </c>
      <c r="H102">
        <v>-21233.39</v>
      </c>
    </row>
    <row r="103" spans="1:8" x14ac:dyDescent="0.2">
      <c r="A103">
        <v>952</v>
      </c>
      <c r="B103">
        <v>24861</v>
      </c>
      <c r="C103" t="s">
        <v>66</v>
      </c>
      <c r="D103">
        <v>0</v>
      </c>
      <c r="E103">
        <v>11986.38</v>
      </c>
      <c r="F103">
        <v>14573</v>
      </c>
      <c r="G103">
        <v>14821.66</v>
      </c>
      <c r="H103">
        <v>14821.66</v>
      </c>
    </row>
    <row r="104" spans="1:8" x14ac:dyDescent="0.2">
      <c r="A104">
        <v>952</v>
      </c>
      <c r="B104">
        <v>24870</v>
      </c>
      <c r="C104" t="s">
        <v>67</v>
      </c>
      <c r="D104">
        <v>0</v>
      </c>
      <c r="E104">
        <v>-4330.8100000000004</v>
      </c>
      <c r="F104">
        <v>-15388</v>
      </c>
      <c r="G104">
        <v>-3956.71</v>
      </c>
      <c r="H104">
        <v>-3956.71</v>
      </c>
    </row>
    <row r="105" spans="1:8" x14ac:dyDescent="0.2">
      <c r="A105">
        <v>952</v>
      </c>
      <c r="B105">
        <v>24871</v>
      </c>
      <c r="C105" t="s">
        <v>68</v>
      </c>
      <c r="D105">
        <v>1627.43</v>
      </c>
      <c r="E105">
        <v>15650.46</v>
      </c>
      <c r="F105">
        <v>15388</v>
      </c>
      <c r="G105">
        <v>855.21</v>
      </c>
      <c r="H105">
        <v>855.21</v>
      </c>
    </row>
    <row r="106" spans="1:8" x14ac:dyDescent="0.2">
      <c r="A106">
        <v>952</v>
      </c>
      <c r="B106">
        <v>24880</v>
      </c>
      <c r="C106" t="s">
        <v>69</v>
      </c>
      <c r="D106">
        <v>0</v>
      </c>
      <c r="E106">
        <v>-66.09</v>
      </c>
      <c r="F106">
        <v>-14573</v>
      </c>
      <c r="G106">
        <v>-13905.26</v>
      </c>
      <c r="H106">
        <v>-13905.26</v>
      </c>
    </row>
    <row r="107" spans="1:8" x14ac:dyDescent="0.2">
      <c r="A107">
        <v>952</v>
      </c>
      <c r="B107">
        <v>24881</v>
      </c>
      <c r="C107" t="s">
        <v>70</v>
      </c>
      <c r="D107">
        <v>0</v>
      </c>
      <c r="E107">
        <v>3757.9</v>
      </c>
      <c r="F107">
        <v>14573</v>
      </c>
      <c r="G107">
        <v>13248.84</v>
      </c>
      <c r="H107">
        <v>13248.84</v>
      </c>
    </row>
    <row r="108" spans="1:8" x14ac:dyDescent="0.2">
      <c r="A108">
        <v>952</v>
      </c>
      <c r="B108">
        <v>24890</v>
      </c>
      <c r="C108" t="s">
        <v>71</v>
      </c>
      <c r="D108">
        <v>0</v>
      </c>
      <c r="E108">
        <v>0</v>
      </c>
      <c r="F108">
        <v>-14573</v>
      </c>
      <c r="G108">
        <v>-12568.7</v>
      </c>
      <c r="H108">
        <v>-12568.7</v>
      </c>
    </row>
    <row r="109" spans="1:8" x14ac:dyDescent="0.2">
      <c r="A109">
        <v>952</v>
      </c>
      <c r="B109">
        <v>24891</v>
      </c>
      <c r="C109" t="s">
        <v>72</v>
      </c>
      <c r="D109">
        <v>0</v>
      </c>
      <c r="E109">
        <v>5496.02</v>
      </c>
      <c r="F109">
        <v>14573</v>
      </c>
      <c r="G109">
        <v>14522.72</v>
      </c>
      <c r="H109">
        <v>14522.72</v>
      </c>
    </row>
    <row r="110" spans="1:8" x14ac:dyDescent="0.2">
      <c r="A110">
        <v>952</v>
      </c>
      <c r="B110">
        <v>24900</v>
      </c>
      <c r="C110" t="s">
        <v>73</v>
      </c>
      <c r="D110">
        <v>-15742.66</v>
      </c>
      <c r="E110">
        <v>-39304.839999999997</v>
      </c>
      <c r="F110">
        <v>-30776</v>
      </c>
      <c r="G110">
        <v>-33616.21</v>
      </c>
      <c r="H110">
        <v>-33616.21</v>
      </c>
    </row>
    <row r="111" spans="1:8" x14ac:dyDescent="0.2">
      <c r="A111">
        <v>952</v>
      </c>
      <c r="B111">
        <v>24901</v>
      </c>
      <c r="C111" t="s">
        <v>74</v>
      </c>
      <c r="D111">
        <v>535.12</v>
      </c>
      <c r="E111">
        <v>23232.36</v>
      </c>
      <c r="F111">
        <v>30776</v>
      </c>
      <c r="G111">
        <v>25545.62</v>
      </c>
      <c r="H111">
        <v>25545.62</v>
      </c>
    </row>
    <row r="112" spans="1:8" x14ac:dyDescent="0.2">
      <c r="A112">
        <v>952</v>
      </c>
      <c r="B112">
        <v>25100</v>
      </c>
      <c r="C112" t="s">
        <v>1146</v>
      </c>
      <c r="D112">
        <v>0</v>
      </c>
      <c r="E112">
        <v>-213208.7</v>
      </c>
      <c r="F112">
        <v>-230000</v>
      </c>
      <c r="G112">
        <v>-120521.74</v>
      </c>
      <c r="H112">
        <v>-120521.74</v>
      </c>
    </row>
    <row r="113" spans="1:8" x14ac:dyDescent="0.2">
      <c r="A113">
        <v>952</v>
      </c>
      <c r="B113">
        <v>25150</v>
      </c>
      <c r="C113" t="s">
        <v>1147</v>
      </c>
      <c r="D113">
        <v>14453.19</v>
      </c>
      <c r="E113">
        <v>174525.18</v>
      </c>
      <c r="F113">
        <v>230000</v>
      </c>
      <c r="G113">
        <v>145351.99</v>
      </c>
      <c r="H113">
        <v>145351.99</v>
      </c>
    </row>
    <row r="114" spans="1:8" x14ac:dyDescent="0.2">
      <c r="A114">
        <v>952</v>
      </c>
      <c r="B114">
        <v>2900</v>
      </c>
      <c r="C114" t="s">
        <v>468</v>
      </c>
      <c r="D114">
        <v>0</v>
      </c>
      <c r="E114">
        <v>0</v>
      </c>
      <c r="F114">
        <v>0</v>
      </c>
      <c r="G114">
        <v>0</v>
      </c>
      <c r="H114">
        <v>0</v>
      </c>
    </row>
    <row r="115" spans="1:8" x14ac:dyDescent="0.2">
      <c r="A115">
        <v>952</v>
      </c>
      <c r="B115">
        <v>2910</v>
      </c>
      <c r="C115" t="s">
        <v>807</v>
      </c>
      <c r="D115">
        <v>49392.82</v>
      </c>
      <c r="E115">
        <v>443582.45</v>
      </c>
      <c r="F115">
        <v>381000</v>
      </c>
      <c r="G115">
        <v>395909.16</v>
      </c>
      <c r="H115">
        <v>395909.16</v>
      </c>
    </row>
    <row r="116" spans="1:8" x14ac:dyDescent="0.2">
      <c r="A116">
        <v>952</v>
      </c>
      <c r="B116">
        <v>2920</v>
      </c>
      <c r="C116" t="s">
        <v>223</v>
      </c>
      <c r="D116">
        <v>8490.64</v>
      </c>
      <c r="E116">
        <v>8490.64</v>
      </c>
      <c r="F116">
        <v>0</v>
      </c>
      <c r="G116">
        <v>6179.94</v>
      </c>
      <c r="H116">
        <v>6179.94</v>
      </c>
    </row>
    <row r="117" spans="1:8" x14ac:dyDescent="0.2">
      <c r="A117">
        <v>952</v>
      </c>
      <c r="B117">
        <v>2930</v>
      </c>
      <c r="C117" t="s">
        <v>224</v>
      </c>
      <c r="D117">
        <v>0</v>
      </c>
      <c r="E117">
        <v>-304.35000000000002</v>
      </c>
      <c r="F117">
        <v>0</v>
      </c>
      <c r="G117">
        <v>-1739.13</v>
      </c>
      <c r="H117">
        <v>-1739.13</v>
      </c>
    </row>
    <row r="118" spans="1:8" x14ac:dyDescent="0.2">
      <c r="A118">
        <v>952</v>
      </c>
      <c r="B118">
        <v>2990</v>
      </c>
      <c r="C118" t="s">
        <v>469</v>
      </c>
      <c r="D118">
        <v>0</v>
      </c>
      <c r="E118">
        <v>0</v>
      </c>
      <c r="F118">
        <v>0</v>
      </c>
      <c r="G118">
        <v>0</v>
      </c>
      <c r="H118">
        <v>0</v>
      </c>
    </row>
    <row r="119" spans="1:8" x14ac:dyDescent="0.2">
      <c r="A119">
        <v>952</v>
      </c>
      <c r="B119">
        <v>30100</v>
      </c>
      <c r="C119" t="s">
        <v>471</v>
      </c>
      <c r="D119">
        <v>77.39</v>
      </c>
      <c r="E119">
        <v>5099.3</v>
      </c>
      <c r="F119">
        <v>7000</v>
      </c>
      <c r="G119">
        <v>7368.24</v>
      </c>
      <c r="H119">
        <v>7368.24</v>
      </c>
    </row>
    <row r="120" spans="1:8" x14ac:dyDescent="0.2">
      <c r="A120">
        <v>952</v>
      </c>
      <c r="B120">
        <v>30120</v>
      </c>
      <c r="C120" t="s">
        <v>472</v>
      </c>
      <c r="D120">
        <v>0</v>
      </c>
      <c r="E120">
        <v>0</v>
      </c>
      <c r="F120">
        <v>0</v>
      </c>
      <c r="G120">
        <v>0</v>
      </c>
      <c r="H120">
        <v>0</v>
      </c>
    </row>
    <row r="121" spans="1:8" x14ac:dyDescent="0.2">
      <c r="A121">
        <v>952</v>
      </c>
      <c r="B121">
        <v>30230</v>
      </c>
      <c r="C121" t="s">
        <v>473</v>
      </c>
      <c r="D121">
        <v>0</v>
      </c>
      <c r="E121">
        <v>413.54</v>
      </c>
      <c r="F121">
        <v>250</v>
      </c>
      <c r="G121">
        <v>436.49</v>
      </c>
      <c r="H121">
        <v>436.49</v>
      </c>
    </row>
    <row r="122" spans="1:8" x14ac:dyDescent="0.2">
      <c r="A122">
        <v>952</v>
      </c>
      <c r="B122">
        <v>30240</v>
      </c>
      <c r="C122" t="s">
        <v>474</v>
      </c>
      <c r="D122">
        <v>0</v>
      </c>
      <c r="E122">
        <v>733.81</v>
      </c>
      <c r="F122">
        <v>1000</v>
      </c>
      <c r="G122">
        <v>2246.98</v>
      </c>
      <c r="H122">
        <v>2246.98</v>
      </c>
    </row>
    <row r="123" spans="1:8" x14ac:dyDescent="0.2">
      <c r="A123">
        <v>952</v>
      </c>
      <c r="B123">
        <v>30250</v>
      </c>
      <c r="C123" t="s">
        <v>475</v>
      </c>
      <c r="D123">
        <v>409.95</v>
      </c>
      <c r="E123">
        <v>5175.7</v>
      </c>
      <c r="F123">
        <v>5800</v>
      </c>
      <c r="G123">
        <v>2509.23</v>
      </c>
      <c r="H123">
        <v>2509.23</v>
      </c>
    </row>
    <row r="124" spans="1:8" x14ac:dyDescent="0.2">
      <c r="A124">
        <v>952</v>
      </c>
      <c r="B124">
        <v>30330</v>
      </c>
      <c r="C124" t="s">
        <v>476</v>
      </c>
      <c r="D124">
        <v>3359.38</v>
      </c>
      <c r="E124">
        <v>26932.880000000001</v>
      </c>
      <c r="F124">
        <v>26764</v>
      </c>
      <c r="G124">
        <v>27123.79</v>
      </c>
      <c r="H124">
        <v>27123.79</v>
      </c>
    </row>
    <row r="125" spans="1:8" x14ac:dyDescent="0.2">
      <c r="A125">
        <v>952</v>
      </c>
      <c r="B125">
        <v>30331</v>
      </c>
      <c r="C125" t="s">
        <v>477</v>
      </c>
      <c r="D125">
        <v>0</v>
      </c>
      <c r="E125">
        <v>0</v>
      </c>
      <c r="F125">
        <v>0</v>
      </c>
      <c r="G125">
        <v>0</v>
      </c>
      <c r="H125">
        <v>0</v>
      </c>
    </row>
    <row r="126" spans="1:8" x14ac:dyDescent="0.2">
      <c r="A126">
        <v>952</v>
      </c>
      <c r="B126">
        <v>30350</v>
      </c>
      <c r="C126" t="s">
        <v>478</v>
      </c>
      <c r="D126">
        <v>4146.2700000000004</v>
      </c>
      <c r="E126">
        <v>30324.53</v>
      </c>
      <c r="F126">
        <v>44000</v>
      </c>
      <c r="G126">
        <v>17336.009999999998</v>
      </c>
      <c r="H126">
        <v>17336.009999999998</v>
      </c>
    </row>
    <row r="127" spans="1:8" x14ac:dyDescent="0.2">
      <c r="A127">
        <v>952</v>
      </c>
      <c r="B127">
        <v>30380</v>
      </c>
      <c r="C127" t="s">
        <v>479</v>
      </c>
      <c r="D127">
        <v>1942165.63</v>
      </c>
      <c r="E127">
        <v>9507797</v>
      </c>
      <c r="F127">
        <v>8850000</v>
      </c>
      <c r="G127">
        <v>8755259.5600000005</v>
      </c>
      <c r="H127">
        <v>8755259.5600000005</v>
      </c>
    </row>
    <row r="128" spans="1:8" x14ac:dyDescent="0.2">
      <c r="A128">
        <v>952</v>
      </c>
      <c r="B128">
        <v>30385</v>
      </c>
      <c r="C128" t="s">
        <v>75</v>
      </c>
      <c r="D128">
        <v>0</v>
      </c>
      <c r="E128">
        <v>2233.7600000000002</v>
      </c>
      <c r="F128">
        <v>0</v>
      </c>
      <c r="G128">
        <v>2671.86</v>
      </c>
      <c r="H128">
        <v>2671.86</v>
      </c>
    </row>
    <row r="129" spans="1:8" x14ac:dyDescent="0.2">
      <c r="A129">
        <v>952</v>
      </c>
      <c r="B129">
        <v>30390</v>
      </c>
      <c r="C129" t="s">
        <v>480</v>
      </c>
      <c r="D129">
        <v>5953.72</v>
      </c>
      <c r="E129">
        <v>47171.44</v>
      </c>
      <c r="F129">
        <v>54000</v>
      </c>
      <c r="G129">
        <v>21269.98</v>
      </c>
      <c r="H129">
        <v>21269.98</v>
      </c>
    </row>
    <row r="130" spans="1:8" x14ac:dyDescent="0.2">
      <c r="A130">
        <v>952</v>
      </c>
      <c r="B130">
        <v>30395</v>
      </c>
      <c r="C130" t="s">
        <v>1148</v>
      </c>
      <c r="D130">
        <v>0</v>
      </c>
      <c r="E130">
        <v>1588.04</v>
      </c>
      <c r="F130">
        <v>4000</v>
      </c>
      <c r="G130">
        <v>142.43</v>
      </c>
      <c r="H130">
        <v>142.43</v>
      </c>
    </row>
    <row r="131" spans="1:8" x14ac:dyDescent="0.2">
      <c r="A131">
        <v>952</v>
      </c>
      <c r="B131">
        <v>30400</v>
      </c>
      <c r="C131" t="s">
        <v>481</v>
      </c>
      <c r="D131">
        <v>0</v>
      </c>
      <c r="E131">
        <v>3708.92</v>
      </c>
      <c r="F131">
        <v>4000</v>
      </c>
      <c r="G131">
        <v>2038.36</v>
      </c>
      <c r="H131">
        <v>2038.36</v>
      </c>
    </row>
    <row r="132" spans="1:8" x14ac:dyDescent="0.2">
      <c r="A132">
        <v>952</v>
      </c>
      <c r="B132">
        <v>30401</v>
      </c>
      <c r="C132" t="s">
        <v>1248</v>
      </c>
      <c r="D132">
        <v>0</v>
      </c>
      <c r="E132">
        <v>260.83999999999997</v>
      </c>
      <c r="F132">
        <v>10000</v>
      </c>
      <c r="G132">
        <v>3000</v>
      </c>
      <c r="H132">
        <v>3000</v>
      </c>
    </row>
    <row r="133" spans="1:8" x14ac:dyDescent="0.2">
      <c r="A133">
        <v>952</v>
      </c>
      <c r="B133">
        <v>30520</v>
      </c>
      <c r="C133" t="s">
        <v>482</v>
      </c>
      <c r="D133">
        <v>0</v>
      </c>
      <c r="E133">
        <v>0</v>
      </c>
      <c r="F133">
        <v>0</v>
      </c>
      <c r="G133">
        <v>8.41</v>
      </c>
      <c r="H133">
        <v>8.41</v>
      </c>
    </row>
    <row r="134" spans="1:8" x14ac:dyDescent="0.2">
      <c r="A134">
        <v>952</v>
      </c>
      <c r="B134">
        <v>30521</v>
      </c>
      <c r="C134" t="s">
        <v>483</v>
      </c>
      <c r="D134">
        <v>1125.44</v>
      </c>
      <c r="E134">
        <v>5231.08</v>
      </c>
      <c r="F134">
        <v>7000</v>
      </c>
      <c r="G134">
        <v>7285.02</v>
      </c>
      <c r="H134">
        <v>7285.02</v>
      </c>
    </row>
    <row r="135" spans="1:8" x14ac:dyDescent="0.2">
      <c r="A135">
        <v>952</v>
      </c>
      <c r="B135">
        <v>30522</v>
      </c>
      <c r="C135" t="s">
        <v>484</v>
      </c>
      <c r="D135">
        <v>0</v>
      </c>
      <c r="E135">
        <v>0</v>
      </c>
      <c r="F135">
        <v>0</v>
      </c>
      <c r="G135">
        <v>0</v>
      </c>
      <c r="H135">
        <v>0</v>
      </c>
    </row>
    <row r="136" spans="1:8" x14ac:dyDescent="0.2">
      <c r="A136">
        <v>952</v>
      </c>
      <c r="B136">
        <v>30525</v>
      </c>
      <c r="C136" t="s">
        <v>485</v>
      </c>
      <c r="D136">
        <v>0</v>
      </c>
      <c r="E136">
        <v>1488.55</v>
      </c>
      <c r="F136">
        <v>2500</v>
      </c>
      <c r="G136">
        <v>1699.93</v>
      </c>
      <c r="H136">
        <v>1699.93</v>
      </c>
    </row>
    <row r="137" spans="1:8" x14ac:dyDescent="0.2">
      <c r="A137">
        <v>952</v>
      </c>
      <c r="B137">
        <v>30530</v>
      </c>
      <c r="C137" t="s">
        <v>486</v>
      </c>
      <c r="D137">
        <v>0</v>
      </c>
      <c r="E137">
        <v>0</v>
      </c>
      <c r="F137">
        <v>0</v>
      </c>
      <c r="G137">
        <v>0</v>
      </c>
      <c r="H137">
        <v>0</v>
      </c>
    </row>
    <row r="138" spans="1:8" x14ac:dyDescent="0.2">
      <c r="A138">
        <v>952</v>
      </c>
      <c r="B138">
        <v>30570</v>
      </c>
      <c r="C138" t="s">
        <v>487</v>
      </c>
      <c r="D138">
        <v>166.24</v>
      </c>
      <c r="E138">
        <v>3464.66</v>
      </c>
      <c r="F138">
        <v>3500</v>
      </c>
      <c r="G138">
        <v>2084.11</v>
      </c>
      <c r="H138">
        <v>2084.11</v>
      </c>
    </row>
    <row r="139" spans="1:8" x14ac:dyDescent="0.2">
      <c r="A139">
        <v>952</v>
      </c>
      <c r="B139">
        <v>30600</v>
      </c>
      <c r="C139" t="s">
        <v>877</v>
      </c>
      <c r="D139">
        <v>0</v>
      </c>
      <c r="E139">
        <v>895.54</v>
      </c>
      <c r="F139">
        <v>4000</v>
      </c>
      <c r="G139">
        <v>1304.3399999999999</v>
      </c>
      <c r="H139">
        <v>1304.3399999999999</v>
      </c>
    </row>
    <row r="140" spans="1:8" x14ac:dyDescent="0.2">
      <c r="A140">
        <v>952</v>
      </c>
      <c r="B140">
        <v>30610</v>
      </c>
      <c r="C140" t="s">
        <v>488</v>
      </c>
      <c r="D140">
        <v>371.74</v>
      </c>
      <c r="E140">
        <v>10963.02</v>
      </c>
      <c r="F140">
        <v>13893</v>
      </c>
      <c r="G140">
        <v>7050.84</v>
      </c>
      <c r="H140">
        <v>7050.84</v>
      </c>
    </row>
    <row r="141" spans="1:8" x14ac:dyDescent="0.2">
      <c r="A141">
        <v>952</v>
      </c>
      <c r="B141">
        <v>30660</v>
      </c>
      <c r="C141" t="s">
        <v>489</v>
      </c>
      <c r="D141">
        <v>0</v>
      </c>
      <c r="E141">
        <v>235.59</v>
      </c>
      <c r="F141">
        <v>3719</v>
      </c>
      <c r="G141">
        <v>326.44</v>
      </c>
      <c r="H141">
        <v>326.44</v>
      </c>
    </row>
    <row r="142" spans="1:8" x14ac:dyDescent="0.2">
      <c r="A142">
        <v>952</v>
      </c>
      <c r="B142">
        <v>30690</v>
      </c>
      <c r="C142" t="s">
        <v>490</v>
      </c>
      <c r="D142">
        <v>-10.15</v>
      </c>
      <c r="E142">
        <v>7933.21</v>
      </c>
      <c r="F142">
        <v>0</v>
      </c>
      <c r="G142">
        <v>16553.86</v>
      </c>
      <c r="H142">
        <v>16553.86</v>
      </c>
    </row>
    <row r="143" spans="1:8" x14ac:dyDescent="0.2">
      <c r="A143">
        <v>952</v>
      </c>
      <c r="B143">
        <v>30691</v>
      </c>
      <c r="C143" t="s">
        <v>980</v>
      </c>
      <c r="D143">
        <v>0</v>
      </c>
      <c r="E143">
        <v>0</v>
      </c>
      <c r="F143">
        <v>0</v>
      </c>
      <c r="G143">
        <v>0</v>
      </c>
      <c r="H143">
        <v>0</v>
      </c>
    </row>
    <row r="144" spans="1:8" x14ac:dyDescent="0.2">
      <c r="A144">
        <v>952</v>
      </c>
      <c r="B144">
        <v>30695</v>
      </c>
      <c r="C144" t="s">
        <v>491</v>
      </c>
      <c r="D144">
        <v>263.45</v>
      </c>
      <c r="E144">
        <v>1765.64</v>
      </c>
      <c r="F144">
        <v>1000</v>
      </c>
      <c r="G144">
        <v>1012.72</v>
      </c>
      <c r="H144">
        <v>1012.72</v>
      </c>
    </row>
    <row r="145" spans="1:8" x14ac:dyDescent="0.2">
      <c r="A145">
        <v>952</v>
      </c>
      <c r="B145">
        <v>30700</v>
      </c>
      <c r="C145" t="s">
        <v>492</v>
      </c>
      <c r="D145">
        <v>0</v>
      </c>
      <c r="E145">
        <v>495.7</v>
      </c>
      <c r="F145">
        <v>1000</v>
      </c>
      <c r="G145">
        <v>1000.83</v>
      </c>
      <c r="H145">
        <v>1000.83</v>
      </c>
    </row>
    <row r="146" spans="1:8" x14ac:dyDescent="0.2">
      <c r="A146">
        <v>952</v>
      </c>
      <c r="B146">
        <v>30705</v>
      </c>
      <c r="C146" t="s">
        <v>493</v>
      </c>
      <c r="D146">
        <v>0</v>
      </c>
      <c r="E146">
        <v>104.72</v>
      </c>
      <c r="F146">
        <v>450</v>
      </c>
      <c r="G146">
        <v>336</v>
      </c>
      <c r="H146">
        <v>336</v>
      </c>
    </row>
    <row r="147" spans="1:8" x14ac:dyDescent="0.2">
      <c r="A147">
        <v>952</v>
      </c>
      <c r="B147">
        <v>30710</v>
      </c>
      <c r="C147" t="s">
        <v>863</v>
      </c>
      <c r="D147">
        <v>0</v>
      </c>
      <c r="E147">
        <v>0</v>
      </c>
      <c r="F147">
        <v>775</v>
      </c>
      <c r="G147">
        <v>504.35</v>
      </c>
      <c r="H147">
        <v>504.35</v>
      </c>
    </row>
    <row r="148" spans="1:8" x14ac:dyDescent="0.2">
      <c r="A148">
        <v>952</v>
      </c>
      <c r="B148">
        <v>30715</v>
      </c>
      <c r="C148" t="s">
        <v>494</v>
      </c>
      <c r="D148">
        <v>0</v>
      </c>
      <c r="E148">
        <v>40.65</v>
      </c>
      <c r="F148">
        <v>0</v>
      </c>
      <c r="G148">
        <v>0</v>
      </c>
      <c r="H148">
        <v>0</v>
      </c>
    </row>
    <row r="149" spans="1:8" x14ac:dyDescent="0.2">
      <c r="A149">
        <v>952</v>
      </c>
      <c r="B149">
        <v>31010</v>
      </c>
      <c r="C149" t="s">
        <v>495</v>
      </c>
      <c r="D149">
        <v>0</v>
      </c>
      <c r="E149">
        <v>521.74</v>
      </c>
      <c r="F149">
        <v>3000</v>
      </c>
      <c r="G149">
        <v>782.61</v>
      </c>
      <c r="H149">
        <v>782.61</v>
      </c>
    </row>
    <row r="150" spans="1:8" x14ac:dyDescent="0.2">
      <c r="A150">
        <v>952</v>
      </c>
      <c r="B150">
        <v>31040</v>
      </c>
      <c r="C150" t="s">
        <v>496</v>
      </c>
      <c r="D150">
        <v>0</v>
      </c>
      <c r="E150">
        <v>0</v>
      </c>
      <c r="F150">
        <v>0</v>
      </c>
      <c r="G150">
        <v>0</v>
      </c>
      <c r="H150">
        <v>0</v>
      </c>
    </row>
    <row r="151" spans="1:8" x14ac:dyDescent="0.2">
      <c r="A151">
        <v>952</v>
      </c>
      <c r="B151">
        <v>31045</v>
      </c>
      <c r="C151" t="s">
        <v>497</v>
      </c>
      <c r="D151">
        <v>0</v>
      </c>
      <c r="E151">
        <v>0</v>
      </c>
      <c r="F151">
        <v>0</v>
      </c>
      <c r="G151">
        <v>0</v>
      </c>
      <c r="H151">
        <v>0</v>
      </c>
    </row>
    <row r="152" spans="1:8" x14ac:dyDescent="0.2">
      <c r="A152">
        <v>952</v>
      </c>
      <c r="B152">
        <v>31050</v>
      </c>
      <c r="C152" t="s">
        <v>498</v>
      </c>
      <c r="D152">
        <v>0</v>
      </c>
      <c r="E152">
        <v>0</v>
      </c>
      <c r="F152">
        <v>0</v>
      </c>
      <c r="G152">
        <v>0</v>
      </c>
      <c r="H152">
        <v>0</v>
      </c>
    </row>
    <row r="153" spans="1:8" x14ac:dyDescent="0.2">
      <c r="A153">
        <v>952</v>
      </c>
      <c r="B153">
        <v>32000</v>
      </c>
      <c r="C153" t="s">
        <v>881</v>
      </c>
      <c r="D153">
        <v>0</v>
      </c>
      <c r="E153">
        <v>70.72</v>
      </c>
      <c r="F153">
        <v>0</v>
      </c>
      <c r="G153">
        <v>6163.1</v>
      </c>
      <c r="H153">
        <v>6163.1</v>
      </c>
    </row>
    <row r="154" spans="1:8" x14ac:dyDescent="0.2">
      <c r="A154">
        <v>952</v>
      </c>
      <c r="B154">
        <v>32010</v>
      </c>
      <c r="C154" t="s">
        <v>894</v>
      </c>
      <c r="D154">
        <v>0</v>
      </c>
      <c r="E154">
        <v>82.61</v>
      </c>
      <c r="F154">
        <v>0</v>
      </c>
      <c r="G154">
        <v>318.04000000000002</v>
      </c>
      <c r="H154">
        <v>318.04000000000002</v>
      </c>
    </row>
    <row r="155" spans="1:8" x14ac:dyDescent="0.2">
      <c r="A155">
        <v>952</v>
      </c>
      <c r="B155">
        <v>32020</v>
      </c>
      <c r="C155" t="s">
        <v>814</v>
      </c>
      <c r="D155">
        <v>0</v>
      </c>
      <c r="E155">
        <v>0</v>
      </c>
      <c r="F155">
        <v>0</v>
      </c>
      <c r="G155">
        <v>2121.86</v>
      </c>
      <c r="H155">
        <v>2121.86</v>
      </c>
    </row>
    <row r="156" spans="1:8" x14ac:dyDescent="0.2">
      <c r="A156">
        <v>952</v>
      </c>
      <c r="B156">
        <v>32030</v>
      </c>
      <c r="C156" t="s">
        <v>499</v>
      </c>
      <c r="D156">
        <v>0</v>
      </c>
      <c r="E156">
        <v>0</v>
      </c>
      <c r="F156">
        <v>0</v>
      </c>
      <c r="G156">
        <v>8574.34</v>
      </c>
      <c r="H156">
        <v>8574.34</v>
      </c>
    </row>
    <row r="157" spans="1:8" x14ac:dyDescent="0.2">
      <c r="A157">
        <v>952</v>
      </c>
      <c r="B157">
        <v>32040</v>
      </c>
      <c r="C157" t="s">
        <v>500</v>
      </c>
      <c r="D157">
        <v>0</v>
      </c>
      <c r="E157">
        <v>0</v>
      </c>
      <c r="F157">
        <v>0</v>
      </c>
      <c r="G157">
        <v>0</v>
      </c>
      <c r="H157">
        <v>0</v>
      </c>
    </row>
    <row r="158" spans="1:8" x14ac:dyDescent="0.2">
      <c r="A158">
        <v>952</v>
      </c>
      <c r="B158">
        <v>32050</v>
      </c>
      <c r="C158" t="s">
        <v>1040</v>
      </c>
      <c r="D158">
        <v>0</v>
      </c>
      <c r="E158">
        <v>0</v>
      </c>
      <c r="F158">
        <v>0</v>
      </c>
      <c r="G158">
        <v>1526.3</v>
      </c>
      <c r="H158">
        <v>1526.3</v>
      </c>
    </row>
    <row r="159" spans="1:8" x14ac:dyDescent="0.2">
      <c r="A159">
        <v>952</v>
      </c>
      <c r="B159">
        <v>32060</v>
      </c>
      <c r="C159" t="s">
        <v>1041</v>
      </c>
      <c r="D159">
        <v>0</v>
      </c>
      <c r="E159">
        <v>0</v>
      </c>
      <c r="F159">
        <v>0</v>
      </c>
      <c r="G159">
        <v>19.71</v>
      </c>
      <c r="H159">
        <v>19.71</v>
      </c>
    </row>
    <row r="160" spans="1:8" x14ac:dyDescent="0.2">
      <c r="A160">
        <v>952</v>
      </c>
      <c r="B160">
        <v>32070</v>
      </c>
      <c r="C160" t="s">
        <v>76</v>
      </c>
      <c r="D160">
        <v>0</v>
      </c>
      <c r="E160">
        <v>0</v>
      </c>
      <c r="F160">
        <v>0</v>
      </c>
      <c r="G160">
        <v>-217.39</v>
      </c>
      <c r="H160">
        <v>-217.39</v>
      </c>
    </row>
    <row r="161" spans="1:8" x14ac:dyDescent="0.2">
      <c r="A161">
        <v>952</v>
      </c>
      <c r="B161">
        <v>32080</v>
      </c>
      <c r="C161" t="s">
        <v>814</v>
      </c>
      <c r="D161">
        <v>0</v>
      </c>
      <c r="E161">
        <v>0</v>
      </c>
      <c r="F161">
        <v>0</v>
      </c>
      <c r="G161">
        <v>708.52</v>
      </c>
      <c r="H161">
        <v>708.52</v>
      </c>
    </row>
    <row r="162" spans="1:8" x14ac:dyDescent="0.2">
      <c r="A162">
        <v>952</v>
      </c>
      <c r="B162">
        <v>32090</v>
      </c>
      <c r="C162" t="s">
        <v>1039</v>
      </c>
      <c r="D162">
        <v>0</v>
      </c>
      <c r="E162">
        <v>0</v>
      </c>
      <c r="F162">
        <v>0</v>
      </c>
      <c r="G162">
        <v>0</v>
      </c>
      <c r="H162">
        <v>0</v>
      </c>
    </row>
    <row r="163" spans="1:8" x14ac:dyDescent="0.2">
      <c r="A163">
        <v>952</v>
      </c>
      <c r="B163">
        <v>32100</v>
      </c>
      <c r="C163" t="s">
        <v>499</v>
      </c>
      <c r="D163">
        <v>0</v>
      </c>
      <c r="E163">
        <v>0</v>
      </c>
      <c r="F163">
        <v>0</v>
      </c>
      <c r="G163">
        <v>0</v>
      </c>
      <c r="H163">
        <v>0</v>
      </c>
    </row>
    <row r="164" spans="1:8" x14ac:dyDescent="0.2">
      <c r="A164">
        <v>952</v>
      </c>
      <c r="B164">
        <v>33010</v>
      </c>
      <c r="C164" t="s">
        <v>501</v>
      </c>
      <c r="D164">
        <v>37378.36</v>
      </c>
      <c r="E164">
        <v>251959.55</v>
      </c>
      <c r="F164">
        <v>260237</v>
      </c>
      <c r="G164">
        <v>218243.33</v>
      </c>
      <c r="H164">
        <v>218243.33</v>
      </c>
    </row>
    <row r="165" spans="1:8" x14ac:dyDescent="0.2">
      <c r="A165">
        <v>952</v>
      </c>
      <c r="B165">
        <v>33015</v>
      </c>
      <c r="C165" t="s">
        <v>1249</v>
      </c>
      <c r="D165">
        <v>3848.25</v>
      </c>
      <c r="E165">
        <v>51783.23</v>
      </c>
      <c r="F165">
        <v>73595</v>
      </c>
      <c r="G165">
        <v>0</v>
      </c>
      <c r="H165">
        <v>0</v>
      </c>
    </row>
    <row r="166" spans="1:8" x14ac:dyDescent="0.2">
      <c r="A166">
        <v>952</v>
      </c>
      <c r="B166">
        <v>33020</v>
      </c>
      <c r="C166" t="s">
        <v>502</v>
      </c>
      <c r="D166">
        <v>0</v>
      </c>
      <c r="E166">
        <v>1652.17</v>
      </c>
      <c r="F166">
        <v>1887</v>
      </c>
      <c r="G166">
        <v>0</v>
      </c>
      <c r="H166">
        <v>0</v>
      </c>
    </row>
    <row r="167" spans="1:8" x14ac:dyDescent="0.2">
      <c r="A167">
        <v>952</v>
      </c>
      <c r="B167">
        <v>33040</v>
      </c>
      <c r="C167" t="s">
        <v>503</v>
      </c>
      <c r="D167">
        <v>260</v>
      </c>
      <c r="E167">
        <v>547.70000000000005</v>
      </c>
      <c r="F167">
        <v>500</v>
      </c>
      <c r="G167">
        <v>1094.48</v>
      </c>
      <c r="H167">
        <v>1094.48</v>
      </c>
    </row>
    <row r="168" spans="1:8" x14ac:dyDescent="0.2">
      <c r="A168">
        <v>952</v>
      </c>
      <c r="B168">
        <v>33050</v>
      </c>
      <c r="C168" t="s">
        <v>504</v>
      </c>
      <c r="D168">
        <v>0</v>
      </c>
      <c r="E168">
        <v>351.2</v>
      </c>
      <c r="F168">
        <v>1000</v>
      </c>
      <c r="G168">
        <v>210</v>
      </c>
      <c r="H168">
        <v>210</v>
      </c>
    </row>
    <row r="169" spans="1:8" x14ac:dyDescent="0.2">
      <c r="A169">
        <v>952</v>
      </c>
      <c r="B169">
        <v>33070</v>
      </c>
      <c r="C169" t="s">
        <v>505</v>
      </c>
      <c r="D169">
        <v>52.17</v>
      </c>
      <c r="E169">
        <v>52.17</v>
      </c>
      <c r="F169">
        <v>750</v>
      </c>
      <c r="G169">
        <v>129.87</v>
      </c>
      <c r="H169">
        <v>129.87</v>
      </c>
    </row>
    <row r="170" spans="1:8" x14ac:dyDescent="0.2">
      <c r="A170">
        <v>952</v>
      </c>
      <c r="B170">
        <v>33220</v>
      </c>
      <c r="C170" t="s">
        <v>485</v>
      </c>
      <c r="D170">
        <v>0</v>
      </c>
      <c r="E170">
        <v>0</v>
      </c>
      <c r="F170">
        <v>0</v>
      </c>
      <c r="G170">
        <v>0</v>
      </c>
      <c r="H170">
        <v>0</v>
      </c>
    </row>
    <row r="171" spans="1:8" x14ac:dyDescent="0.2">
      <c r="A171">
        <v>952</v>
      </c>
      <c r="B171">
        <v>33285</v>
      </c>
      <c r="C171" t="s">
        <v>506</v>
      </c>
      <c r="D171">
        <v>1266.77</v>
      </c>
      <c r="E171">
        <v>6299.89</v>
      </c>
      <c r="F171">
        <v>6807</v>
      </c>
      <c r="G171">
        <v>6265.61</v>
      </c>
      <c r="H171">
        <v>6265.61</v>
      </c>
    </row>
    <row r="172" spans="1:8" x14ac:dyDescent="0.2">
      <c r="A172">
        <v>952</v>
      </c>
      <c r="B172">
        <v>33290</v>
      </c>
      <c r="C172" t="s">
        <v>507</v>
      </c>
      <c r="D172">
        <v>0</v>
      </c>
      <c r="E172">
        <v>0</v>
      </c>
      <c r="F172">
        <v>300</v>
      </c>
      <c r="G172">
        <v>20</v>
      </c>
      <c r="H172">
        <v>20</v>
      </c>
    </row>
    <row r="173" spans="1:8" x14ac:dyDescent="0.2">
      <c r="A173">
        <v>952</v>
      </c>
      <c r="B173">
        <v>33295</v>
      </c>
      <c r="C173" t="s">
        <v>508</v>
      </c>
      <c r="D173">
        <v>0</v>
      </c>
      <c r="E173">
        <v>0</v>
      </c>
      <c r="F173">
        <v>200</v>
      </c>
      <c r="G173">
        <v>0</v>
      </c>
      <c r="H173">
        <v>0</v>
      </c>
    </row>
    <row r="174" spans="1:8" x14ac:dyDescent="0.2">
      <c r="A174">
        <v>952</v>
      </c>
      <c r="B174">
        <v>33310</v>
      </c>
      <c r="C174" t="s">
        <v>509</v>
      </c>
      <c r="D174">
        <v>0</v>
      </c>
      <c r="E174">
        <v>0</v>
      </c>
      <c r="F174">
        <v>0</v>
      </c>
      <c r="G174">
        <v>0</v>
      </c>
      <c r="H174">
        <v>0</v>
      </c>
    </row>
    <row r="175" spans="1:8" x14ac:dyDescent="0.2">
      <c r="A175">
        <v>952</v>
      </c>
      <c r="B175">
        <v>33400</v>
      </c>
      <c r="C175" t="s">
        <v>510</v>
      </c>
      <c r="D175">
        <v>305.97000000000003</v>
      </c>
      <c r="E175">
        <v>2128.98</v>
      </c>
      <c r="F175">
        <v>2500</v>
      </c>
      <c r="G175">
        <v>1498.89</v>
      </c>
      <c r="H175">
        <v>1498.89</v>
      </c>
    </row>
    <row r="176" spans="1:8" x14ac:dyDescent="0.2">
      <c r="A176">
        <v>952</v>
      </c>
      <c r="B176">
        <v>33410</v>
      </c>
      <c r="C176" t="s">
        <v>511</v>
      </c>
      <c r="D176">
        <v>257.52999999999997</v>
      </c>
      <c r="E176">
        <v>496.32</v>
      </c>
      <c r="F176">
        <v>730</v>
      </c>
      <c r="G176">
        <v>395.25</v>
      </c>
      <c r="H176">
        <v>395.25</v>
      </c>
    </row>
    <row r="177" spans="1:8" x14ac:dyDescent="0.2">
      <c r="A177">
        <v>952</v>
      </c>
      <c r="B177">
        <v>33420</v>
      </c>
      <c r="C177" t="s">
        <v>512</v>
      </c>
      <c r="D177">
        <v>0</v>
      </c>
      <c r="E177">
        <v>1800.97</v>
      </c>
      <c r="F177">
        <v>1000</v>
      </c>
      <c r="G177">
        <v>829.03</v>
      </c>
      <c r="H177">
        <v>829.03</v>
      </c>
    </row>
    <row r="178" spans="1:8" x14ac:dyDescent="0.2">
      <c r="A178">
        <v>952</v>
      </c>
      <c r="B178">
        <v>33430</v>
      </c>
      <c r="C178" t="s">
        <v>513</v>
      </c>
      <c r="D178">
        <v>0</v>
      </c>
      <c r="E178">
        <v>6375</v>
      </c>
      <c r="F178">
        <v>8500</v>
      </c>
      <c r="G178">
        <v>6382</v>
      </c>
      <c r="H178">
        <v>6382</v>
      </c>
    </row>
    <row r="179" spans="1:8" x14ac:dyDescent="0.2">
      <c r="A179">
        <v>952</v>
      </c>
      <c r="B179">
        <v>33440</v>
      </c>
      <c r="C179" t="s">
        <v>514</v>
      </c>
      <c r="D179">
        <v>0</v>
      </c>
      <c r="E179">
        <v>1957.39</v>
      </c>
      <c r="F179">
        <v>2800</v>
      </c>
      <c r="G179">
        <v>1986.25</v>
      </c>
      <c r="H179">
        <v>1986.25</v>
      </c>
    </row>
    <row r="180" spans="1:8" x14ac:dyDescent="0.2">
      <c r="A180">
        <v>952</v>
      </c>
      <c r="B180">
        <v>33450</v>
      </c>
      <c r="C180" t="s">
        <v>515</v>
      </c>
      <c r="D180">
        <v>2437.5</v>
      </c>
      <c r="E180">
        <v>33546.51</v>
      </c>
      <c r="F180">
        <v>39000</v>
      </c>
      <c r="G180">
        <v>30277.06</v>
      </c>
      <c r="H180">
        <v>30277.06</v>
      </c>
    </row>
    <row r="181" spans="1:8" x14ac:dyDescent="0.2">
      <c r="A181">
        <v>952</v>
      </c>
      <c r="B181">
        <v>33460</v>
      </c>
      <c r="C181" t="s">
        <v>516</v>
      </c>
      <c r="D181">
        <v>1222</v>
      </c>
      <c r="E181">
        <v>35607.01</v>
      </c>
      <c r="F181">
        <v>39000</v>
      </c>
      <c r="G181">
        <v>40144</v>
      </c>
      <c r="H181">
        <v>40144</v>
      </c>
    </row>
    <row r="182" spans="1:8" x14ac:dyDescent="0.2">
      <c r="A182">
        <v>952</v>
      </c>
      <c r="B182">
        <v>33470</v>
      </c>
      <c r="C182" t="s">
        <v>517</v>
      </c>
      <c r="D182">
        <v>1995.5</v>
      </c>
      <c r="E182">
        <v>37485.51</v>
      </c>
      <c r="F182">
        <v>39000</v>
      </c>
      <c r="G182">
        <v>38961.01</v>
      </c>
      <c r="H182">
        <v>38961.01</v>
      </c>
    </row>
    <row r="183" spans="1:8" x14ac:dyDescent="0.2">
      <c r="A183">
        <v>952</v>
      </c>
      <c r="B183">
        <v>33475</v>
      </c>
      <c r="C183" t="s">
        <v>518</v>
      </c>
      <c r="D183">
        <v>0</v>
      </c>
      <c r="E183">
        <v>0</v>
      </c>
      <c r="F183">
        <v>0</v>
      </c>
      <c r="G183">
        <v>0</v>
      </c>
      <c r="H183">
        <v>0</v>
      </c>
    </row>
    <row r="184" spans="1:8" x14ac:dyDescent="0.2">
      <c r="A184">
        <v>952</v>
      </c>
      <c r="B184">
        <v>33480</v>
      </c>
      <c r="C184" t="s">
        <v>519</v>
      </c>
      <c r="D184">
        <v>0</v>
      </c>
      <c r="E184">
        <v>1460.9</v>
      </c>
      <c r="F184">
        <v>2000</v>
      </c>
      <c r="G184">
        <v>1911.12</v>
      </c>
      <c r="H184">
        <v>1911.12</v>
      </c>
    </row>
    <row r="185" spans="1:8" x14ac:dyDescent="0.2">
      <c r="A185">
        <v>952</v>
      </c>
      <c r="B185">
        <v>33495</v>
      </c>
      <c r="C185" t="s">
        <v>520</v>
      </c>
      <c r="D185">
        <v>0</v>
      </c>
      <c r="E185">
        <v>0</v>
      </c>
      <c r="F185">
        <v>0</v>
      </c>
      <c r="G185">
        <v>0</v>
      </c>
      <c r="H185">
        <v>0</v>
      </c>
    </row>
    <row r="186" spans="1:8" x14ac:dyDescent="0.2">
      <c r="A186">
        <v>952</v>
      </c>
      <c r="B186">
        <v>33500</v>
      </c>
      <c r="C186" t="s">
        <v>521</v>
      </c>
      <c r="D186">
        <v>8270.74</v>
      </c>
      <c r="E186">
        <v>21174.92</v>
      </c>
      <c r="F186">
        <v>42200</v>
      </c>
      <c r="G186">
        <v>6519.59</v>
      </c>
      <c r="H186">
        <v>6519.59</v>
      </c>
    </row>
    <row r="187" spans="1:8" x14ac:dyDescent="0.2">
      <c r="A187">
        <v>952</v>
      </c>
      <c r="B187">
        <v>33502</v>
      </c>
      <c r="C187" t="s">
        <v>522</v>
      </c>
      <c r="D187">
        <v>0</v>
      </c>
      <c r="E187">
        <v>0</v>
      </c>
      <c r="F187">
        <v>0</v>
      </c>
      <c r="G187">
        <v>0</v>
      </c>
      <c r="H187">
        <v>0</v>
      </c>
    </row>
    <row r="188" spans="1:8" x14ac:dyDescent="0.2">
      <c r="A188">
        <v>952</v>
      </c>
      <c r="B188">
        <v>33510</v>
      </c>
      <c r="C188" t="s">
        <v>523</v>
      </c>
      <c r="D188">
        <v>0</v>
      </c>
      <c r="E188">
        <v>0</v>
      </c>
      <c r="F188">
        <v>0</v>
      </c>
      <c r="G188">
        <v>0</v>
      </c>
      <c r="H188">
        <v>0</v>
      </c>
    </row>
    <row r="189" spans="1:8" x14ac:dyDescent="0.2">
      <c r="A189">
        <v>952</v>
      </c>
      <c r="B189">
        <v>33512</v>
      </c>
      <c r="C189" t="s">
        <v>524</v>
      </c>
      <c r="D189">
        <v>0</v>
      </c>
      <c r="E189">
        <v>0</v>
      </c>
      <c r="F189">
        <v>0</v>
      </c>
      <c r="G189">
        <v>2269.56</v>
      </c>
      <c r="H189">
        <v>2269.56</v>
      </c>
    </row>
    <row r="190" spans="1:8" x14ac:dyDescent="0.2">
      <c r="A190">
        <v>952</v>
      </c>
      <c r="B190">
        <v>33515</v>
      </c>
      <c r="C190" t="s">
        <v>525</v>
      </c>
      <c r="D190">
        <v>0</v>
      </c>
      <c r="E190">
        <v>0</v>
      </c>
      <c r="F190">
        <v>0</v>
      </c>
      <c r="G190">
        <v>0</v>
      </c>
      <c r="H190">
        <v>0</v>
      </c>
    </row>
    <row r="191" spans="1:8" x14ac:dyDescent="0.2">
      <c r="A191">
        <v>952</v>
      </c>
      <c r="B191">
        <v>33520</v>
      </c>
      <c r="C191" t="s">
        <v>526</v>
      </c>
      <c r="D191">
        <v>0</v>
      </c>
      <c r="E191">
        <v>5175</v>
      </c>
      <c r="F191">
        <v>5000</v>
      </c>
      <c r="G191">
        <v>4713.0200000000004</v>
      </c>
      <c r="H191">
        <v>4713.0200000000004</v>
      </c>
    </row>
    <row r="192" spans="1:8" x14ac:dyDescent="0.2">
      <c r="A192">
        <v>952</v>
      </c>
      <c r="B192">
        <v>33525</v>
      </c>
      <c r="C192" t="s">
        <v>527</v>
      </c>
      <c r="D192">
        <v>4706.8999999999996</v>
      </c>
      <c r="E192">
        <v>40830.120000000003</v>
      </c>
      <c r="F192">
        <v>42770</v>
      </c>
      <c r="G192">
        <v>41139.94</v>
      </c>
      <c r="H192">
        <v>41139.94</v>
      </c>
    </row>
    <row r="193" spans="1:8" x14ac:dyDescent="0.2">
      <c r="A193">
        <v>952</v>
      </c>
      <c r="B193">
        <v>33530</v>
      </c>
      <c r="C193" t="s">
        <v>528</v>
      </c>
      <c r="D193">
        <v>0</v>
      </c>
      <c r="E193">
        <v>0</v>
      </c>
      <c r="F193">
        <v>0</v>
      </c>
      <c r="G193">
        <v>0</v>
      </c>
      <c r="H193">
        <v>0</v>
      </c>
    </row>
    <row r="194" spans="1:8" x14ac:dyDescent="0.2">
      <c r="A194">
        <v>952</v>
      </c>
      <c r="B194">
        <v>33540</v>
      </c>
      <c r="C194" t="s">
        <v>529</v>
      </c>
      <c r="D194">
        <v>55.74</v>
      </c>
      <c r="E194">
        <v>133.37</v>
      </c>
      <c r="F194">
        <v>500</v>
      </c>
      <c r="G194">
        <v>300</v>
      </c>
      <c r="H194">
        <v>300</v>
      </c>
    </row>
    <row r="195" spans="1:8" x14ac:dyDescent="0.2">
      <c r="A195">
        <v>952</v>
      </c>
      <c r="B195">
        <v>33550</v>
      </c>
      <c r="C195" t="s">
        <v>530</v>
      </c>
      <c r="D195">
        <v>0</v>
      </c>
      <c r="E195">
        <v>0</v>
      </c>
      <c r="F195">
        <v>0</v>
      </c>
      <c r="G195">
        <v>-77.38</v>
      </c>
      <c r="H195">
        <v>-77.38</v>
      </c>
    </row>
    <row r="196" spans="1:8" x14ac:dyDescent="0.2">
      <c r="A196">
        <v>952</v>
      </c>
      <c r="B196">
        <v>33555</v>
      </c>
      <c r="C196" t="s">
        <v>485</v>
      </c>
      <c r="D196">
        <v>0</v>
      </c>
      <c r="E196">
        <v>0</v>
      </c>
      <c r="F196">
        <v>0</v>
      </c>
      <c r="G196">
        <v>0</v>
      </c>
      <c r="H196">
        <v>0</v>
      </c>
    </row>
    <row r="197" spans="1:8" x14ac:dyDescent="0.2">
      <c r="A197">
        <v>952</v>
      </c>
      <c r="B197">
        <v>33560</v>
      </c>
      <c r="C197" t="s">
        <v>531</v>
      </c>
      <c r="D197">
        <v>0</v>
      </c>
      <c r="E197">
        <v>1316.63</v>
      </c>
      <c r="F197">
        <v>5000</v>
      </c>
      <c r="G197">
        <v>793.64</v>
      </c>
      <c r="H197">
        <v>793.64</v>
      </c>
    </row>
    <row r="198" spans="1:8" x14ac:dyDescent="0.2">
      <c r="A198">
        <v>952</v>
      </c>
      <c r="B198">
        <v>33565</v>
      </c>
      <c r="C198" t="s">
        <v>1250</v>
      </c>
      <c r="D198">
        <v>184.96</v>
      </c>
      <c r="E198">
        <v>1378.44</v>
      </c>
      <c r="F198">
        <v>4500</v>
      </c>
      <c r="G198">
        <v>0</v>
      </c>
      <c r="H198">
        <v>0</v>
      </c>
    </row>
    <row r="199" spans="1:8" x14ac:dyDescent="0.2">
      <c r="A199">
        <v>952</v>
      </c>
      <c r="B199">
        <v>33580</v>
      </c>
      <c r="C199" t="s">
        <v>532</v>
      </c>
      <c r="D199">
        <v>522.41999999999996</v>
      </c>
      <c r="E199">
        <v>2752.19</v>
      </c>
      <c r="F199">
        <v>2500</v>
      </c>
      <c r="G199">
        <v>1955.59</v>
      </c>
      <c r="H199">
        <v>1955.59</v>
      </c>
    </row>
    <row r="200" spans="1:8" x14ac:dyDescent="0.2">
      <c r="A200">
        <v>952</v>
      </c>
      <c r="B200">
        <v>33590</v>
      </c>
      <c r="C200" t="s">
        <v>533</v>
      </c>
      <c r="D200">
        <v>240.46</v>
      </c>
      <c r="E200">
        <v>1568.51</v>
      </c>
      <c r="F200">
        <v>2500</v>
      </c>
      <c r="G200">
        <v>1378.18</v>
      </c>
      <c r="H200">
        <v>1378.18</v>
      </c>
    </row>
    <row r="201" spans="1:8" x14ac:dyDescent="0.2">
      <c r="A201">
        <v>952</v>
      </c>
      <c r="B201">
        <v>33600</v>
      </c>
      <c r="C201" t="s">
        <v>534</v>
      </c>
      <c r="D201">
        <v>0</v>
      </c>
      <c r="E201">
        <v>295.25</v>
      </c>
      <c r="F201">
        <v>2000</v>
      </c>
      <c r="G201">
        <v>367.57</v>
      </c>
      <c r="H201">
        <v>367.57</v>
      </c>
    </row>
    <row r="202" spans="1:8" x14ac:dyDescent="0.2">
      <c r="A202">
        <v>952</v>
      </c>
      <c r="B202">
        <v>33610</v>
      </c>
      <c r="C202" t="s">
        <v>535</v>
      </c>
      <c r="D202">
        <v>0</v>
      </c>
      <c r="E202">
        <v>319.27</v>
      </c>
      <c r="F202">
        <v>3000</v>
      </c>
      <c r="G202">
        <v>273.5</v>
      </c>
      <c r="H202">
        <v>273.5</v>
      </c>
    </row>
    <row r="203" spans="1:8" x14ac:dyDescent="0.2">
      <c r="A203">
        <v>952</v>
      </c>
      <c r="B203">
        <v>34000</v>
      </c>
      <c r="C203" t="s">
        <v>536</v>
      </c>
      <c r="D203">
        <v>0</v>
      </c>
      <c r="E203">
        <v>0</v>
      </c>
      <c r="F203">
        <v>0</v>
      </c>
      <c r="G203">
        <v>0</v>
      </c>
      <c r="H203">
        <v>0</v>
      </c>
    </row>
    <row r="204" spans="1:8" x14ac:dyDescent="0.2">
      <c r="A204">
        <v>952</v>
      </c>
      <c r="B204">
        <v>34140</v>
      </c>
      <c r="C204" t="s">
        <v>537</v>
      </c>
      <c r="D204">
        <v>0</v>
      </c>
      <c r="E204">
        <v>0</v>
      </c>
      <c r="F204">
        <v>0</v>
      </c>
      <c r="G204">
        <v>0</v>
      </c>
      <c r="H204">
        <v>0</v>
      </c>
    </row>
    <row r="205" spans="1:8" x14ac:dyDescent="0.2">
      <c r="A205">
        <v>952</v>
      </c>
      <c r="B205">
        <v>34145</v>
      </c>
      <c r="C205" t="s">
        <v>538</v>
      </c>
      <c r="D205">
        <v>0</v>
      </c>
      <c r="E205">
        <v>0</v>
      </c>
      <c r="F205">
        <v>0</v>
      </c>
      <c r="G205">
        <v>0</v>
      </c>
      <c r="H205">
        <v>0</v>
      </c>
    </row>
    <row r="206" spans="1:8" x14ac:dyDescent="0.2">
      <c r="A206">
        <v>952</v>
      </c>
      <c r="B206">
        <v>34300</v>
      </c>
      <c r="C206" t="s">
        <v>485</v>
      </c>
      <c r="D206">
        <v>0</v>
      </c>
      <c r="E206">
        <v>0</v>
      </c>
      <c r="F206">
        <v>0</v>
      </c>
      <c r="G206">
        <v>0</v>
      </c>
      <c r="H206">
        <v>0</v>
      </c>
    </row>
    <row r="207" spans="1:8" x14ac:dyDescent="0.2">
      <c r="A207">
        <v>952</v>
      </c>
      <c r="B207">
        <v>34390</v>
      </c>
      <c r="C207" t="s">
        <v>506</v>
      </c>
      <c r="D207">
        <v>0</v>
      </c>
      <c r="E207">
        <v>0</v>
      </c>
      <c r="F207">
        <v>0</v>
      </c>
      <c r="G207">
        <v>0</v>
      </c>
      <c r="H207">
        <v>0</v>
      </c>
    </row>
    <row r="208" spans="1:8" x14ac:dyDescent="0.2">
      <c r="A208">
        <v>952</v>
      </c>
      <c r="B208">
        <v>34395</v>
      </c>
      <c r="C208" t="s">
        <v>539</v>
      </c>
      <c r="D208">
        <v>0</v>
      </c>
      <c r="E208">
        <v>0</v>
      </c>
      <c r="F208">
        <v>0</v>
      </c>
      <c r="G208">
        <v>0</v>
      </c>
      <c r="H208">
        <v>0</v>
      </c>
    </row>
    <row r="209" spans="1:8" x14ac:dyDescent="0.2">
      <c r="A209">
        <v>952</v>
      </c>
      <c r="B209">
        <v>34410</v>
      </c>
      <c r="C209" t="s">
        <v>540</v>
      </c>
      <c r="D209">
        <v>0</v>
      </c>
      <c r="E209">
        <v>0</v>
      </c>
      <c r="F209">
        <v>0</v>
      </c>
      <c r="G209">
        <v>0</v>
      </c>
      <c r="H209">
        <v>0</v>
      </c>
    </row>
    <row r="210" spans="1:8" x14ac:dyDescent="0.2">
      <c r="A210">
        <v>952</v>
      </c>
      <c r="B210">
        <v>34420</v>
      </c>
      <c r="C210" t="s">
        <v>485</v>
      </c>
      <c r="D210">
        <v>0</v>
      </c>
      <c r="E210">
        <v>0</v>
      </c>
      <c r="F210">
        <v>0</v>
      </c>
      <c r="G210">
        <v>0</v>
      </c>
      <c r="H210">
        <v>0</v>
      </c>
    </row>
    <row r="211" spans="1:8" x14ac:dyDescent="0.2">
      <c r="A211">
        <v>952</v>
      </c>
      <c r="B211">
        <v>34440</v>
      </c>
      <c r="C211" t="s">
        <v>541</v>
      </c>
      <c r="D211">
        <v>0</v>
      </c>
      <c r="E211">
        <v>0</v>
      </c>
      <c r="F211">
        <v>0</v>
      </c>
      <c r="G211">
        <v>0</v>
      </c>
      <c r="H211">
        <v>0</v>
      </c>
    </row>
    <row r="212" spans="1:8" x14ac:dyDescent="0.2">
      <c r="A212">
        <v>952</v>
      </c>
      <c r="B212">
        <v>34445</v>
      </c>
      <c r="C212" t="s">
        <v>542</v>
      </c>
      <c r="D212">
        <v>0</v>
      </c>
      <c r="E212">
        <v>0</v>
      </c>
      <c r="F212">
        <v>0</v>
      </c>
      <c r="G212">
        <v>0</v>
      </c>
      <c r="H212">
        <v>0</v>
      </c>
    </row>
    <row r="213" spans="1:8" x14ac:dyDescent="0.2">
      <c r="A213">
        <v>952</v>
      </c>
      <c r="B213">
        <v>34452</v>
      </c>
      <c r="C213" t="s">
        <v>543</v>
      </c>
      <c r="D213">
        <v>0</v>
      </c>
      <c r="E213">
        <v>0</v>
      </c>
      <c r="F213">
        <v>0</v>
      </c>
      <c r="G213">
        <v>0</v>
      </c>
      <c r="H213">
        <v>0</v>
      </c>
    </row>
    <row r="214" spans="1:8" x14ac:dyDescent="0.2">
      <c r="A214">
        <v>952</v>
      </c>
      <c r="B214">
        <v>34453</v>
      </c>
      <c r="C214" t="s">
        <v>544</v>
      </c>
      <c r="D214">
        <v>0</v>
      </c>
      <c r="E214">
        <v>0</v>
      </c>
      <c r="F214">
        <v>0</v>
      </c>
      <c r="G214">
        <v>0</v>
      </c>
      <c r="H214">
        <v>0</v>
      </c>
    </row>
    <row r="215" spans="1:8" x14ac:dyDescent="0.2">
      <c r="A215">
        <v>952</v>
      </c>
      <c r="B215">
        <v>34455</v>
      </c>
      <c r="C215" t="s">
        <v>545</v>
      </c>
      <c r="D215">
        <v>0</v>
      </c>
      <c r="E215">
        <v>0</v>
      </c>
      <c r="F215">
        <v>0</v>
      </c>
      <c r="G215">
        <v>0</v>
      </c>
      <c r="H215">
        <v>0</v>
      </c>
    </row>
    <row r="216" spans="1:8" x14ac:dyDescent="0.2">
      <c r="A216">
        <v>952</v>
      </c>
      <c r="B216">
        <v>34500</v>
      </c>
      <c r="C216" t="s">
        <v>546</v>
      </c>
      <c r="D216">
        <v>0</v>
      </c>
      <c r="E216">
        <v>0</v>
      </c>
      <c r="F216">
        <v>0</v>
      </c>
      <c r="G216">
        <v>0</v>
      </c>
      <c r="H216">
        <v>0</v>
      </c>
    </row>
    <row r="217" spans="1:8" x14ac:dyDescent="0.2">
      <c r="A217">
        <v>952</v>
      </c>
      <c r="B217">
        <v>34600</v>
      </c>
      <c r="C217" t="s">
        <v>547</v>
      </c>
      <c r="D217">
        <v>0</v>
      </c>
      <c r="E217">
        <v>0</v>
      </c>
      <c r="F217">
        <v>0</v>
      </c>
      <c r="G217">
        <v>0</v>
      </c>
      <c r="H217">
        <v>0</v>
      </c>
    </row>
    <row r="218" spans="1:8" x14ac:dyDescent="0.2">
      <c r="A218">
        <v>952</v>
      </c>
      <c r="B218">
        <v>34610</v>
      </c>
      <c r="C218" t="s">
        <v>548</v>
      </c>
      <c r="D218">
        <v>0</v>
      </c>
      <c r="E218">
        <v>0</v>
      </c>
      <c r="F218">
        <v>0</v>
      </c>
      <c r="G218">
        <v>0</v>
      </c>
      <c r="H218">
        <v>0</v>
      </c>
    </row>
    <row r="219" spans="1:8" x14ac:dyDescent="0.2">
      <c r="A219">
        <v>952</v>
      </c>
      <c r="B219">
        <v>34700</v>
      </c>
      <c r="C219" t="s">
        <v>549</v>
      </c>
      <c r="D219">
        <v>552.88</v>
      </c>
      <c r="E219">
        <v>4772.41</v>
      </c>
      <c r="F219">
        <v>3805</v>
      </c>
      <c r="G219">
        <v>4562.67</v>
      </c>
      <c r="H219">
        <v>4562.67</v>
      </c>
    </row>
    <row r="220" spans="1:8" x14ac:dyDescent="0.2">
      <c r="A220">
        <v>952</v>
      </c>
      <c r="B220">
        <v>34710</v>
      </c>
      <c r="C220" t="s">
        <v>550</v>
      </c>
      <c r="D220">
        <v>40.31</v>
      </c>
      <c r="E220">
        <v>532.25</v>
      </c>
      <c r="F220">
        <v>1200</v>
      </c>
      <c r="G220">
        <v>1113.74</v>
      </c>
      <c r="H220">
        <v>1113.74</v>
      </c>
    </row>
    <row r="221" spans="1:8" x14ac:dyDescent="0.2">
      <c r="A221">
        <v>952</v>
      </c>
      <c r="B221">
        <v>34720</v>
      </c>
      <c r="C221" t="s">
        <v>485</v>
      </c>
      <c r="D221">
        <v>0</v>
      </c>
      <c r="E221">
        <v>0</v>
      </c>
      <c r="F221">
        <v>100</v>
      </c>
      <c r="G221">
        <v>0</v>
      </c>
      <c r="H221">
        <v>0</v>
      </c>
    </row>
    <row r="222" spans="1:8" x14ac:dyDescent="0.2">
      <c r="A222">
        <v>952</v>
      </c>
      <c r="B222">
        <v>34730</v>
      </c>
      <c r="C222" t="s">
        <v>538</v>
      </c>
      <c r="D222">
        <v>0</v>
      </c>
      <c r="E222">
        <v>32.14</v>
      </c>
      <c r="F222">
        <v>100</v>
      </c>
      <c r="G222">
        <v>0</v>
      </c>
      <c r="H222">
        <v>0</v>
      </c>
    </row>
    <row r="223" spans="1:8" x14ac:dyDescent="0.2">
      <c r="A223">
        <v>952</v>
      </c>
      <c r="B223">
        <v>34740</v>
      </c>
      <c r="C223" t="s">
        <v>814</v>
      </c>
      <c r="D223">
        <v>0</v>
      </c>
      <c r="E223">
        <v>729.33</v>
      </c>
      <c r="F223">
        <v>300</v>
      </c>
      <c r="G223">
        <v>284.74</v>
      </c>
      <c r="H223">
        <v>284.74</v>
      </c>
    </row>
    <row r="224" spans="1:8" x14ac:dyDescent="0.2">
      <c r="A224">
        <v>952</v>
      </c>
      <c r="B224">
        <v>34760</v>
      </c>
      <c r="C224" t="s">
        <v>551</v>
      </c>
      <c r="D224">
        <v>0</v>
      </c>
      <c r="E224">
        <v>0</v>
      </c>
      <c r="F224">
        <v>200</v>
      </c>
      <c r="G224">
        <v>200.95</v>
      </c>
      <c r="H224">
        <v>200.95</v>
      </c>
    </row>
    <row r="225" spans="1:8" x14ac:dyDescent="0.2">
      <c r="A225">
        <v>952</v>
      </c>
      <c r="B225">
        <v>34765</v>
      </c>
      <c r="C225" t="s">
        <v>77</v>
      </c>
      <c r="D225">
        <v>0</v>
      </c>
      <c r="E225">
        <v>0</v>
      </c>
      <c r="F225">
        <v>0</v>
      </c>
      <c r="G225">
        <v>0</v>
      </c>
      <c r="H225">
        <v>0</v>
      </c>
    </row>
    <row r="226" spans="1:8" x14ac:dyDescent="0.2">
      <c r="A226">
        <v>952</v>
      </c>
      <c r="B226">
        <v>34770</v>
      </c>
      <c r="C226" t="s">
        <v>552</v>
      </c>
      <c r="D226">
        <v>7.39</v>
      </c>
      <c r="E226">
        <v>282.85000000000002</v>
      </c>
      <c r="F226">
        <v>1000</v>
      </c>
      <c r="G226">
        <v>138.97</v>
      </c>
      <c r="H226">
        <v>138.97</v>
      </c>
    </row>
    <row r="227" spans="1:8" x14ac:dyDescent="0.2">
      <c r="A227">
        <v>952</v>
      </c>
      <c r="B227">
        <v>34780</v>
      </c>
      <c r="C227" t="s">
        <v>553</v>
      </c>
      <c r="D227">
        <v>4801.9399999999996</v>
      </c>
      <c r="E227">
        <v>28518.15</v>
      </c>
      <c r="F227">
        <v>20000</v>
      </c>
      <c r="G227">
        <v>23335.38</v>
      </c>
      <c r="H227">
        <v>23335.38</v>
      </c>
    </row>
    <row r="228" spans="1:8" x14ac:dyDescent="0.2">
      <c r="A228">
        <v>952</v>
      </c>
      <c r="B228">
        <v>34800</v>
      </c>
      <c r="C228" t="s">
        <v>506</v>
      </c>
      <c r="D228">
        <v>0</v>
      </c>
      <c r="E228">
        <v>0</v>
      </c>
      <c r="F228">
        <v>0</v>
      </c>
      <c r="G228">
        <v>0</v>
      </c>
      <c r="H228">
        <v>0</v>
      </c>
    </row>
    <row r="229" spans="1:8" x14ac:dyDescent="0.2">
      <c r="A229">
        <v>952</v>
      </c>
      <c r="B229">
        <v>34810</v>
      </c>
      <c r="C229" t="s">
        <v>1313</v>
      </c>
      <c r="D229">
        <v>0</v>
      </c>
      <c r="E229">
        <v>0</v>
      </c>
      <c r="F229">
        <v>0</v>
      </c>
      <c r="G229">
        <v>0</v>
      </c>
      <c r="H229">
        <v>0</v>
      </c>
    </row>
    <row r="230" spans="1:8" x14ac:dyDescent="0.2">
      <c r="A230">
        <v>952</v>
      </c>
      <c r="B230">
        <v>34820</v>
      </c>
      <c r="C230" t="s">
        <v>485</v>
      </c>
      <c r="D230">
        <v>0</v>
      </c>
      <c r="E230">
        <v>0</v>
      </c>
      <c r="F230">
        <v>0</v>
      </c>
      <c r="G230">
        <v>0</v>
      </c>
      <c r="H230">
        <v>0</v>
      </c>
    </row>
    <row r="231" spans="1:8" x14ac:dyDescent="0.2">
      <c r="A231">
        <v>952</v>
      </c>
      <c r="B231">
        <v>34830</v>
      </c>
      <c r="C231" t="s">
        <v>1314</v>
      </c>
      <c r="D231">
        <v>0</v>
      </c>
      <c r="E231">
        <v>0</v>
      </c>
      <c r="F231">
        <v>0</v>
      </c>
      <c r="G231">
        <v>0</v>
      </c>
      <c r="H231">
        <v>0</v>
      </c>
    </row>
    <row r="232" spans="1:8" x14ac:dyDescent="0.2">
      <c r="A232">
        <v>952</v>
      </c>
      <c r="B232">
        <v>34840</v>
      </c>
      <c r="C232" t="s">
        <v>814</v>
      </c>
      <c r="D232">
        <v>0</v>
      </c>
      <c r="E232">
        <v>0</v>
      </c>
      <c r="F232">
        <v>0</v>
      </c>
      <c r="G232">
        <v>0</v>
      </c>
      <c r="H232">
        <v>0</v>
      </c>
    </row>
    <row r="233" spans="1:8" x14ac:dyDescent="0.2">
      <c r="A233">
        <v>952</v>
      </c>
      <c r="B233">
        <v>34860</v>
      </c>
      <c r="C233" t="s">
        <v>551</v>
      </c>
      <c r="D233">
        <v>0</v>
      </c>
      <c r="E233">
        <v>0</v>
      </c>
      <c r="F233">
        <v>0</v>
      </c>
      <c r="G233">
        <v>0</v>
      </c>
      <c r="H233">
        <v>0</v>
      </c>
    </row>
    <row r="234" spans="1:8" x14ac:dyDescent="0.2">
      <c r="A234">
        <v>952</v>
      </c>
      <c r="B234">
        <v>34870</v>
      </c>
      <c r="C234" t="s">
        <v>552</v>
      </c>
      <c r="D234">
        <v>0</v>
      </c>
      <c r="E234">
        <v>0</v>
      </c>
      <c r="F234">
        <v>0</v>
      </c>
      <c r="G234">
        <v>0</v>
      </c>
      <c r="H234">
        <v>0</v>
      </c>
    </row>
    <row r="235" spans="1:8" x14ac:dyDescent="0.2">
      <c r="A235">
        <v>952</v>
      </c>
      <c r="B235">
        <v>34880</v>
      </c>
      <c r="C235" t="s">
        <v>553</v>
      </c>
      <c r="D235">
        <v>0</v>
      </c>
      <c r="E235">
        <v>0</v>
      </c>
      <c r="F235">
        <v>0</v>
      </c>
      <c r="G235">
        <v>0</v>
      </c>
      <c r="H235">
        <v>0</v>
      </c>
    </row>
    <row r="236" spans="1:8" x14ac:dyDescent="0.2">
      <c r="A236">
        <v>952</v>
      </c>
      <c r="B236">
        <v>35000</v>
      </c>
      <c r="C236" t="s">
        <v>549</v>
      </c>
      <c r="D236">
        <v>0</v>
      </c>
      <c r="E236">
        <v>0</v>
      </c>
      <c r="F236">
        <v>0</v>
      </c>
      <c r="G236">
        <v>0</v>
      </c>
      <c r="H236">
        <v>0</v>
      </c>
    </row>
    <row r="237" spans="1:8" x14ac:dyDescent="0.2">
      <c r="A237">
        <v>952</v>
      </c>
      <c r="B237">
        <v>35010</v>
      </c>
      <c r="C237" t="s">
        <v>554</v>
      </c>
      <c r="D237">
        <v>46.96</v>
      </c>
      <c r="E237">
        <v>616.25</v>
      </c>
      <c r="F237">
        <v>1200</v>
      </c>
      <c r="G237">
        <v>1130.76</v>
      </c>
      <c r="H237">
        <v>1130.76</v>
      </c>
    </row>
    <row r="238" spans="1:8" x14ac:dyDescent="0.2">
      <c r="A238">
        <v>952</v>
      </c>
      <c r="B238">
        <v>35020</v>
      </c>
      <c r="C238" t="s">
        <v>555</v>
      </c>
      <c r="D238">
        <v>0</v>
      </c>
      <c r="E238">
        <v>0</v>
      </c>
      <c r="F238">
        <v>0</v>
      </c>
      <c r="G238">
        <v>0</v>
      </c>
      <c r="H238">
        <v>0</v>
      </c>
    </row>
    <row r="239" spans="1:8" x14ac:dyDescent="0.2">
      <c r="A239">
        <v>952</v>
      </c>
      <c r="B239">
        <v>35030</v>
      </c>
      <c r="C239" t="s">
        <v>556</v>
      </c>
      <c r="D239">
        <v>0</v>
      </c>
      <c r="E239">
        <v>50.05</v>
      </c>
      <c r="F239">
        <v>100</v>
      </c>
      <c r="G239">
        <v>0</v>
      </c>
      <c r="H239">
        <v>0</v>
      </c>
    </row>
    <row r="240" spans="1:8" x14ac:dyDescent="0.2">
      <c r="A240">
        <v>952</v>
      </c>
      <c r="B240">
        <v>35040</v>
      </c>
      <c r="C240" t="s">
        <v>557</v>
      </c>
      <c r="D240">
        <v>138.83000000000001</v>
      </c>
      <c r="E240">
        <v>1951.53</v>
      </c>
      <c r="F240">
        <v>1500</v>
      </c>
      <c r="G240">
        <v>1752.93</v>
      </c>
      <c r="H240">
        <v>1752.93</v>
      </c>
    </row>
    <row r="241" spans="1:8" x14ac:dyDescent="0.2">
      <c r="A241">
        <v>952</v>
      </c>
      <c r="B241">
        <v>35050</v>
      </c>
      <c r="C241" t="s">
        <v>558</v>
      </c>
      <c r="D241">
        <v>144.69999999999999</v>
      </c>
      <c r="E241">
        <v>791.85</v>
      </c>
      <c r="F241">
        <v>2000</v>
      </c>
      <c r="G241">
        <v>32876.800000000003</v>
      </c>
      <c r="H241">
        <v>32876.800000000003</v>
      </c>
    </row>
    <row r="242" spans="1:8" x14ac:dyDescent="0.2">
      <c r="A242">
        <v>952</v>
      </c>
      <c r="B242">
        <v>35060</v>
      </c>
      <c r="C242" t="s">
        <v>559</v>
      </c>
      <c r="D242">
        <v>0</v>
      </c>
      <c r="E242">
        <v>0</v>
      </c>
      <c r="F242">
        <v>0</v>
      </c>
      <c r="G242">
        <v>0</v>
      </c>
      <c r="H242">
        <v>0</v>
      </c>
    </row>
    <row r="243" spans="1:8" x14ac:dyDescent="0.2">
      <c r="A243">
        <v>952</v>
      </c>
      <c r="B243">
        <v>35070</v>
      </c>
      <c r="C243" t="s">
        <v>560</v>
      </c>
      <c r="D243">
        <v>0</v>
      </c>
      <c r="E243">
        <v>0</v>
      </c>
      <c r="F243">
        <v>1000</v>
      </c>
      <c r="G243">
        <v>130.43</v>
      </c>
      <c r="H243">
        <v>130.43</v>
      </c>
    </row>
    <row r="244" spans="1:8" x14ac:dyDescent="0.2">
      <c r="A244">
        <v>952</v>
      </c>
      <c r="B244">
        <v>35080</v>
      </c>
      <c r="C244" t="s">
        <v>561</v>
      </c>
      <c r="D244">
        <v>2282.2199999999998</v>
      </c>
      <c r="E244">
        <v>18144.759999999998</v>
      </c>
      <c r="F244">
        <v>20000</v>
      </c>
      <c r="G244">
        <v>17937.04</v>
      </c>
      <c r="H244">
        <v>17937.04</v>
      </c>
    </row>
    <row r="245" spans="1:8" x14ac:dyDescent="0.2">
      <c r="A245">
        <v>952</v>
      </c>
      <c r="B245">
        <v>35100</v>
      </c>
      <c r="C245" t="s">
        <v>536</v>
      </c>
      <c r="D245">
        <v>0</v>
      </c>
      <c r="E245">
        <v>114.33</v>
      </c>
      <c r="F245">
        <v>100</v>
      </c>
      <c r="G245">
        <v>57.83</v>
      </c>
      <c r="H245">
        <v>57.83</v>
      </c>
    </row>
    <row r="246" spans="1:8" x14ac:dyDescent="0.2">
      <c r="A246">
        <v>952</v>
      </c>
      <c r="B246">
        <v>35105</v>
      </c>
      <c r="C246" t="s">
        <v>493</v>
      </c>
      <c r="D246">
        <v>0</v>
      </c>
      <c r="E246">
        <v>309.22000000000003</v>
      </c>
      <c r="F246">
        <v>150</v>
      </c>
      <c r="G246">
        <v>151.83000000000001</v>
      </c>
      <c r="H246">
        <v>151.83000000000001</v>
      </c>
    </row>
    <row r="247" spans="1:8" x14ac:dyDescent="0.2">
      <c r="A247">
        <v>952</v>
      </c>
      <c r="B247">
        <v>35110</v>
      </c>
      <c r="C247" t="s">
        <v>562</v>
      </c>
      <c r="D247">
        <v>303.24</v>
      </c>
      <c r="E247">
        <v>4421.25</v>
      </c>
      <c r="F247">
        <v>5000</v>
      </c>
      <c r="G247">
        <v>8167.38</v>
      </c>
      <c r="H247">
        <v>8167.38</v>
      </c>
    </row>
    <row r="248" spans="1:8" x14ac:dyDescent="0.2">
      <c r="A248">
        <v>952</v>
      </c>
      <c r="B248">
        <v>35115</v>
      </c>
      <c r="C248" t="s">
        <v>514</v>
      </c>
      <c r="D248">
        <v>0</v>
      </c>
      <c r="E248">
        <v>0</v>
      </c>
      <c r="F248">
        <v>0</v>
      </c>
      <c r="G248">
        <v>0</v>
      </c>
      <c r="H248">
        <v>0</v>
      </c>
    </row>
    <row r="249" spans="1:8" x14ac:dyDescent="0.2">
      <c r="A249">
        <v>952</v>
      </c>
      <c r="B249">
        <v>35120</v>
      </c>
      <c r="C249" t="s">
        <v>563</v>
      </c>
      <c r="D249">
        <v>0</v>
      </c>
      <c r="E249">
        <v>0</v>
      </c>
      <c r="F249">
        <v>0</v>
      </c>
      <c r="G249">
        <v>0</v>
      </c>
      <c r="H249">
        <v>0</v>
      </c>
    </row>
    <row r="250" spans="1:8" x14ac:dyDescent="0.2">
      <c r="A250">
        <v>952</v>
      </c>
      <c r="B250">
        <v>35125</v>
      </c>
      <c r="C250" t="s">
        <v>564</v>
      </c>
      <c r="D250">
        <v>0</v>
      </c>
      <c r="E250">
        <v>0</v>
      </c>
      <c r="F250">
        <v>0</v>
      </c>
      <c r="G250">
        <v>1166.95</v>
      </c>
      <c r="H250">
        <v>1166.95</v>
      </c>
    </row>
    <row r="251" spans="1:8" x14ac:dyDescent="0.2">
      <c r="A251">
        <v>952</v>
      </c>
      <c r="B251">
        <v>35130</v>
      </c>
      <c r="C251" t="s">
        <v>565</v>
      </c>
      <c r="D251">
        <v>0</v>
      </c>
      <c r="E251">
        <v>455.44</v>
      </c>
      <c r="F251">
        <v>750</v>
      </c>
      <c r="G251">
        <v>593.1</v>
      </c>
      <c r="H251">
        <v>593.1</v>
      </c>
    </row>
    <row r="252" spans="1:8" x14ac:dyDescent="0.2">
      <c r="A252">
        <v>952</v>
      </c>
      <c r="B252">
        <v>35135</v>
      </c>
      <c r="C252" t="s">
        <v>485</v>
      </c>
      <c r="D252">
        <v>101.93</v>
      </c>
      <c r="E252">
        <v>993.49</v>
      </c>
      <c r="F252">
        <v>2300</v>
      </c>
      <c r="G252">
        <v>1005.58</v>
      </c>
      <c r="H252">
        <v>1005.58</v>
      </c>
    </row>
    <row r="253" spans="1:8" x14ac:dyDescent="0.2">
      <c r="A253">
        <v>952</v>
      </c>
      <c r="B253">
        <v>35140</v>
      </c>
      <c r="C253" t="s">
        <v>538</v>
      </c>
      <c r="D253">
        <v>18.79</v>
      </c>
      <c r="E253">
        <v>2694.16</v>
      </c>
      <c r="F253">
        <v>2000</v>
      </c>
      <c r="G253">
        <v>2569.12</v>
      </c>
      <c r="H253">
        <v>2569.12</v>
      </c>
    </row>
    <row r="254" spans="1:8" x14ac:dyDescent="0.2">
      <c r="A254">
        <v>952</v>
      </c>
      <c r="B254">
        <v>35145</v>
      </c>
      <c r="C254" t="s">
        <v>814</v>
      </c>
      <c r="D254">
        <v>1292.5899999999999</v>
      </c>
      <c r="E254">
        <v>7441.02</v>
      </c>
      <c r="F254">
        <v>8000</v>
      </c>
      <c r="G254">
        <v>7503.1</v>
      </c>
      <c r="H254">
        <v>7503.1</v>
      </c>
    </row>
    <row r="255" spans="1:8" x14ac:dyDescent="0.2">
      <c r="A255">
        <v>952</v>
      </c>
      <c r="B255">
        <v>35150</v>
      </c>
      <c r="C255" t="s">
        <v>551</v>
      </c>
      <c r="D255">
        <v>0</v>
      </c>
      <c r="E255">
        <v>160.80000000000001</v>
      </c>
      <c r="F255">
        <v>200</v>
      </c>
      <c r="G255">
        <v>198.16</v>
      </c>
      <c r="H255">
        <v>198.16</v>
      </c>
    </row>
    <row r="256" spans="1:8" x14ac:dyDescent="0.2">
      <c r="A256">
        <v>952</v>
      </c>
      <c r="B256">
        <v>35155</v>
      </c>
      <c r="C256" t="s">
        <v>566</v>
      </c>
      <c r="D256">
        <v>0</v>
      </c>
      <c r="E256">
        <v>0</v>
      </c>
      <c r="F256">
        <v>0</v>
      </c>
      <c r="G256">
        <v>0</v>
      </c>
      <c r="H256">
        <v>0</v>
      </c>
    </row>
    <row r="257" spans="1:8" x14ac:dyDescent="0.2">
      <c r="A257">
        <v>952</v>
      </c>
      <c r="B257">
        <v>35156</v>
      </c>
      <c r="C257" t="s">
        <v>567</v>
      </c>
      <c r="D257">
        <v>0</v>
      </c>
      <c r="E257">
        <v>0</v>
      </c>
      <c r="F257">
        <v>0</v>
      </c>
      <c r="G257">
        <v>0</v>
      </c>
      <c r="H257">
        <v>0</v>
      </c>
    </row>
    <row r="258" spans="1:8" x14ac:dyDescent="0.2">
      <c r="A258">
        <v>952</v>
      </c>
      <c r="B258">
        <v>35157</v>
      </c>
      <c r="C258" t="s">
        <v>1149</v>
      </c>
      <c r="D258">
        <v>0</v>
      </c>
      <c r="E258">
        <v>305.22000000000003</v>
      </c>
      <c r="F258">
        <v>0</v>
      </c>
      <c r="G258">
        <v>200</v>
      </c>
      <c r="H258">
        <v>200</v>
      </c>
    </row>
    <row r="259" spans="1:8" x14ac:dyDescent="0.2">
      <c r="A259">
        <v>952</v>
      </c>
      <c r="B259">
        <v>35158</v>
      </c>
      <c r="C259" t="s">
        <v>574</v>
      </c>
      <c r="D259">
        <v>0</v>
      </c>
      <c r="E259">
        <v>1685.48</v>
      </c>
      <c r="F259">
        <v>0</v>
      </c>
      <c r="G259">
        <v>0</v>
      </c>
      <c r="H259">
        <v>0</v>
      </c>
    </row>
    <row r="260" spans="1:8" x14ac:dyDescent="0.2">
      <c r="A260">
        <v>952</v>
      </c>
      <c r="B260">
        <v>35160</v>
      </c>
      <c r="C260" t="s">
        <v>549</v>
      </c>
      <c r="D260">
        <v>552.88</v>
      </c>
      <c r="E260">
        <v>4772.41</v>
      </c>
      <c r="F260">
        <v>3805</v>
      </c>
      <c r="G260">
        <v>4562.05</v>
      </c>
      <c r="H260">
        <v>4562.05</v>
      </c>
    </row>
    <row r="261" spans="1:8" x14ac:dyDescent="0.2">
      <c r="A261">
        <v>952</v>
      </c>
      <c r="B261">
        <v>35161</v>
      </c>
      <c r="C261" t="s">
        <v>550</v>
      </c>
      <c r="D261">
        <v>40.31</v>
      </c>
      <c r="E261">
        <v>477.4</v>
      </c>
      <c r="F261">
        <v>800</v>
      </c>
      <c r="G261">
        <v>472.81</v>
      </c>
      <c r="H261">
        <v>472.81</v>
      </c>
    </row>
    <row r="262" spans="1:8" x14ac:dyDescent="0.2">
      <c r="A262">
        <v>952</v>
      </c>
      <c r="B262">
        <v>35162</v>
      </c>
      <c r="C262" t="s">
        <v>485</v>
      </c>
      <c r="D262">
        <v>0</v>
      </c>
      <c r="E262">
        <v>525.25</v>
      </c>
      <c r="F262">
        <v>400</v>
      </c>
      <c r="G262">
        <v>507.45</v>
      </c>
      <c r="H262">
        <v>507.45</v>
      </c>
    </row>
    <row r="263" spans="1:8" x14ac:dyDescent="0.2">
      <c r="A263">
        <v>952</v>
      </c>
      <c r="B263">
        <v>35163</v>
      </c>
      <c r="C263" t="s">
        <v>538</v>
      </c>
      <c r="D263">
        <v>0</v>
      </c>
      <c r="E263">
        <v>153.59</v>
      </c>
      <c r="F263">
        <v>150</v>
      </c>
      <c r="G263">
        <v>11.99</v>
      </c>
      <c r="H263">
        <v>11.99</v>
      </c>
    </row>
    <row r="264" spans="1:8" x14ac:dyDescent="0.2">
      <c r="A264">
        <v>952</v>
      </c>
      <c r="B264">
        <v>35164</v>
      </c>
      <c r="C264" t="s">
        <v>814</v>
      </c>
      <c r="D264">
        <v>0</v>
      </c>
      <c r="E264">
        <v>150.86000000000001</v>
      </c>
      <c r="F264">
        <v>200</v>
      </c>
      <c r="G264">
        <v>113.91</v>
      </c>
      <c r="H264">
        <v>113.91</v>
      </c>
    </row>
    <row r="265" spans="1:8" x14ac:dyDescent="0.2">
      <c r="A265">
        <v>952</v>
      </c>
      <c r="B265">
        <v>35166</v>
      </c>
      <c r="C265" t="s">
        <v>551</v>
      </c>
      <c r="D265">
        <v>0</v>
      </c>
      <c r="E265">
        <v>105.83</v>
      </c>
      <c r="F265">
        <v>150</v>
      </c>
      <c r="G265">
        <v>0</v>
      </c>
      <c r="H265">
        <v>0</v>
      </c>
    </row>
    <row r="266" spans="1:8" x14ac:dyDescent="0.2">
      <c r="A266">
        <v>952</v>
      </c>
      <c r="B266">
        <v>35167</v>
      </c>
      <c r="C266" t="s">
        <v>552</v>
      </c>
      <c r="D266">
        <v>0</v>
      </c>
      <c r="E266">
        <v>95.6</v>
      </c>
      <c r="F266">
        <v>1000</v>
      </c>
      <c r="G266">
        <v>0</v>
      </c>
      <c r="H266">
        <v>0</v>
      </c>
    </row>
    <row r="267" spans="1:8" x14ac:dyDescent="0.2">
      <c r="A267">
        <v>952</v>
      </c>
      <c r="B267">
        <v>35168</v>
      </c>
      <c r="C267" t="s">
        <v>553</v>
      </c>
      <c r="D267">
        <v>702.97</v>
      </c>
      <c r="E267">
        <v>3519.26</v>
      </c>
      <c r="F267">
        <v>6500</v>
      </c>
      <c r="G267">
        <v>5228.9799999999996</v>
      </c>
      <c r="H267">
        <v>5228.9799999999996</v>
      </c>
    </row>
    <row r="268" spans="1:8" x14ac:dyDescent="0.2">
      <c r="A268">
        <v>952</v>
      </c>
      <c r="B268">
        <v>35170</v>
      </c>
      <c r="C268" t="s">
        <v>1315</v>
      </c>
      <c r="D268">
        <v>0</v>
      </c>
      <c r="E268">
        <v>0</v>
      </c>
      <c r="F268">
        <v>0</v>
      </c>
      <c r="G268">
        <v>0</v>
      </c>
      <c r="H268">
        <v>0</v>
      </c>
    </row>
    <row r="269" spans="1:8" x14ac:dyDescent="0.2">
      <c r="A269">
        <v>952</v>
      </c>
      <c r="B269">
        <v>35171</v>
      </c>
      <c r="C269" t="s">
        <v>569</v>
      </c>
      <c r="D269">
        <v>1769.69</v>
      </c>
      <c r="E269">
        <v>14968.68</v>
      </c>
      <c r="F269">
        <v>19025</v>
      </c>
      <c r="G269">
        <v>14075.59</v>
      </c>
      <c r="H269">
        <v>14075.59</v>
      </c>
    </row>
    <row r="270" spans="1:8" x14ac:dyDescent="0.2">
      <c r="A270">
        <v>952</v>
      </c>
      <c r="B270">
        <v>35172</v>
      </c>
      <c r="C270" t="s">
        <v>570</v>
      </c>
      <c r="D270">
        <v>18.260000000000002</v>
      </c>
      <c r="E270">
        <v>15738.95</v>
      </c>
      <c r="F270">
        <v>15000</v>
      </c>
      <c r="G270">
        <v>14733.48</v>
      </c>
      <c r="H270">
        <v>14733.48</v>
      </c>
    </row>
    <row r="271" spans="1:8" x14ac:dyDescent="0.2">
      <c r="A271">
        <v>952</v>
      </c>
      <c r="B271">
        <v>35173</v>
      </c>
      <c r="C271" t="s">
        <v>571</v>
      </c>
      <c r="D271">
        <v>130</v>
      </c>
      <c r="E271">
        <v>13499.73</v>
      </c>
      <c r="F271">
        <v>10000</v>
      </c>
      <c r="G271">
        <v>9265.07</v>
      </c>
      <c r="H271">
        <v>9265.07</v>
      </c>
    </row>
    <row r="272" spans="1:8" x14ac:dyDescent="0.2">
      <c r="A272">
        <v>952</v>
      </c>
      <c r="B272">
        <v>35174</v>
      </c>
      <c r="C272" t="s">
        <v>572</v>
      </c>
      <c r="D272">
        <v>0</v>
      </c>
      <c r="E272">
        <v>0</v>
      </c>
      <c r="F272">
        <v>0</v>
      </c>
      <c r="G272">
        <v>0</v>
      </c>
      <c r="H272">
        <v>0</v>
      </c>
    </row>
    <row r="273" spans="1:8" x14ac:dyDescent="0.2">
      <c r="A273">
        <v>952</v>
      </c>
      <c r="B273">
        <v>35175</v>
      </c>
      <c r="C273" t="s">
        <v>573</v>
      </c>
      <c r="D273">
        <v>0</v>
      </c>
      <c r="E273">
        <v>2748.23</v>
      </c>
      <c r="F273">
        <v>3000</v>
      </c>
      <c r="G273">
        <v>2526.66</v>
      </c>
      <c r="H273">
        <v>2526.66</v>
      </c>
    </row>
    <row r="274" spans="1:8" x14ac:dyDescent="0.2">
      <c r="A274">
        <v>952</v>
      </c>
      <c r="B274">
        <v>35176</v>
      </c>
      <c r="C274" t="s">
        <v>1316</v>
      </c>
      <c r="D274">
        <v>23.48</v>
      </c>
      <c r="E274">
        <v>3891.73</v>
      </c>
      <c r="F274">
        <v>2000</v>
      </c>
      <c r="G274">
        <v>2897.31</v>
      </c>
      <c r="H274">
        <v>2897.31</v>
      </c>
    </row>
    <row r="275" spans="1:8" x14ac:dyDescent="0.2">
      <c r="A275">
        <v>952</v>
      </c>
      <c r="B275">
        <v>35177</v>
      </c>
      <c r="C275" t="s">
        <v>575</v>
      </c>
      <c r="D275">
        <v>94.22</v>
      </c>
      <c r="E275">
        <v>11144.97</v>
      </c>
      <c r="F275">
        <v>22000</v>
      </c>
      <c r="G275">
        <v>11482.67</v>
      </c>
      <c r="H275">
        <v>11482.67</v>
      </c>
    </row>
    <row r="276" spans="1:8" x14ac:dyDescent="0.2">
      <c r="A276">
        <v>952</v>
      </c>
      <c r="B276">
        <v>35178</v>
      </c>
      <c r="C276" t="s">
        <v>1251</v>
      </c>
      <c r="D276">
        <v>11700.1</v>
      </c>
      <c r="E276">
        <v>45849.65</v>
      </c>
      <c r="F276">
        <v>53000</v>
      </c>
      <c r="G276">
        <v>0</v>
      </c>
      <c r="H276">
        <v>0</v>
      </c>
    </row>
    <row r="277" spans="1:8" x14ac:dyDescent="0.2">
      <c r="A277">
        <v>952</v>
      </c>
      <c r="B277">
        <v>35179</v>
      </c>
      <c r="C277" t="s">
        <v>576</v>
      </c>
      <c r="D277">
        <v>326.08</v>
      </c>
      <c r="E277">
        <v>2753.03</v>
      </c>
      <c r="F277">
        <v>34000</v>
      </c>
      <c r="G277">
        <v>0</v>
      </c>
      <c r="H277">
        <v>0</v>
      </c>
    </row>
    <row r="278" spans="1:8" x14ac:dyDescent="0.2">
      <c r="A278">
        <v>952</v>
      </c>
      <c r="B278">
        <v>35180</v>
      </c>
      <c r="C278" t="s">
        <v>493</v>
      </c>
      <c r="D278">
        <v>0</v>
      </c>
      <c r="E278">
        <v>70.900000000000006</v>
      </c>
      <c r="F278">
        <v>200</v>
      </c>
      <c r="G278">
        <v>39.729999999999997</v>
      </c>
      <c r="H278">
        <v>39.729999999999997</v>
      </c>
    </row>
    <row r="279" spans="1:8" x14ac:dyDescent="0.2">
      <c r="A279">
        <v>952</v>
      </c>
      <c r="B279">
        <v>35181</v>
      </c>
      <c r="C279" t="s">
        <v>577</v>
      </c>
      <c r="D279">
        <v>42.37</v>
      </c>
      <c r="E279">
        <v>556.11</v>
      </c>
      <c r="F279">
        <v>800</v>
      </c>
      <c r="G279">
        <v>712.63</v>
      </c>
      <c r="H279">
        <v>712.63</v>
      </c>
    </row>
    <row r="280" spans="1:8" x14ac:dyDescent="0.2">
      <c r="A280">
        <v>952</v>
      </c>
      <c r="B280">
        <v>35182</v>
      </c>
      <c r="C280" t="s">
        <v>485</v>
      </c>
      <c r="D280">
        <v>0</v>
      </c>
      <c r="E280">
        <v>652.45000000000005</v>
      </c>
      <c r="F280">
        <v>300</v>
      </c>
      <c r="G280">
        <v>346.95</v>
      </c>
      <c r="H280">
        <v>346.95</v>
      </c>
    </row>
    <row r="281" spans="1:8" x14ac:dyDescent="0.2">
      <c r="A281">
        <v>952</v>
      </c>
      <c r="B281">
        <v>35183</v>
      </c>
      <c r="C281" t="s">
        <v>578</v>
      </c>
      <c r="D281">
        <v>0</v>
      </c>
      <c r="E281">
        <v>64.23</v>
      </c>
      <c r="F281">
        <v>300</v>
      </c>
      <c r="G281">
        <v>334.56</v>
      </c>
      <c r="H281">
        <v>334.56</v>
      </c>
    </row>
    <row r="282" spans="1:8" x14ac:dyDescent="0.2">
      <c r="A282">
        <v>952</v>
      </c>
      <c r="B282">
        <v>35184</v>
      </c>
      <c r="C282" t="s">
        <v>814</v>
      </c>
      <c r="D282">
        <v>83.17</v>
      </c>
      <c r="E282">
        <v>1555.78</v>
      </c>
      <c r="F282">
        <v>1300</v>
      </c>
      <c r="G282">
        <v>2542.2800000000002</v>
      </c>
      <c r="H282">
        <v>2542.2800000000002</v>
      </c>
    </row>
    <row r="283" spans="1:8" x14ac:dyDescent="0.2">
      <c r="A283">
        <v>952</v>
      </c>
      <c r="B283">
        <v>35185</v>
      </c>
      <c r="C283" t="s">
        <v>551</v>
      </c>
      <c r="D283">
        <v>0</v>
      </c>
      <c r="E283">
        <v>1231.58</v>
      </c>
      <c r="F283">
        <v>55000</v>
      </c>
      <c r="G283">
        <v>0</v>
      </c>
      <c r="H283">
        <v>0</v>
      </c>
    </row>
    <row r="284" spans="1:8" x14ac:dyDescent="0.2">
      <c r="A284">
        <v>952</v>
      </c>
      <c r="B284">
        <v>35186</v>
      </c>
      <c r="C284" t="s">
        <v>579</v>
      </c>
      <c r="D284">
        <v>0</v>
      </c>
      <c r="E284">
        <v>0</v>
      </c>
      <c r="F284">
        <v>150</v>
      </c>
      <c r="G284">
        <v>0</v>
      </c>
      <c r="H284">
        <v>0</v>
      </c>
    </row>
    <row r="285" spans="1:8" x14ac:dyDescent="0.2">
      <c r="A285">
        <v>952</v>
      </c>
      <c r="B285">
        <v>35187</v>
      </c>
      <c r="C285" t="s">
        <v>580</v>
      </c>
      <c r="D285">
        <v>80</v>
      </c>
      <c r="E285">
        <v>691.94</v>
      </c>
      <c r="F285">
        <v>1000</v>
      </c>
      <c r="G285">
        <v>-73.2</v>
      </c>
      <c r="H285">
        <v>-73.2</v>
      </c>
    </row>
    <row r="286" spans="1:8" x14ac:dyDescent="0.2">
      <c r="A286">
        <v>952</v>
      </c>
      <c r="B286">
        <v>35188</v>
      </c>
      <c r="C286" t="s">
        <v>581</v>
      </c>
      <c r="D286">
        <v>3636.26</v>
      </c>
      <c r="E286">
        <v>26282.48</v>
      </c>
      <c r="F286">
        <v>17000</v>
      </c>
      <c r="G286">
        <v>18824.04</v>
      </c>
      <c r="H286">
        <v>18824.04</v>
      </c>
    </row>
    <row r="287" spans="1:8" x14ac:dyDescent="0.2">
      <c r="A287">
        <v>952</v>
      </c>
      <c r="B287">
        <v>35189</v>
      </c>
      <c r="C287" t="s">
        <v>582</v>
      </c>
      <c r="D287">
        <v>0</v>
      </c>
      <c r="E287">
        <v>0</v>
      </c>
      <c r="F287">
        <v>0</v>
      </c>
      <c r="G287">
        <v>0</v>
      </c>
      <c r="H287">
        <v>0</v>
      </c>
    </row>
    <row r="288" spans="1:8" x14ac:dyDescent="0.2">
      <c r="A288">
        <v>952</v>
      </c>
      <c r="B288">
        <v>35190</v>
      </c>
      <c r="C288" t="s">
        <v>583</v>
      </c>
      <c r="D288">
        <v>0</v>
      </c>
      <c r="E288">
        <v>114.87</v>
      </c>
      <c r="F288">
        <v>0</v>
      </c>
      <c r="G288">
        <v>99.57</v>
      </c>
      <c r="H288">
        <v>99.57</v>
      </c>
    </row>
    <row r="289" spans="1:8" x14ac:dyDescent="0.2">
      <c r="A289">
        <v>952</v>
      </c>
      <c r="B289">
        <v>35191</v>
      </c>
      <c r="C289" t="s">
        <v>1317</v>
      </c>
      <c r="D289">
        <v>124.61</v>
      </c>
      <c r="E289">
        <v>1086.3599999999999</v>
      </c>
      <c r="F289">
        <v>0</v>
      </c>
      <c r="G289">
        <v>0</v>
      </c>
      <c r="H289">
        <v>0</v>
      </c>
    </row>
    <row r="290" spans="1:8" x14ac:dyDescent="0.2">
      <c r="A290">
        <v>952</v>
      </c>
      <c r="B290">
        <v>35192</v>
      </c>
      <c r="C290" t="s">
        <v>584</v>
      </c>
      <c r="D290">
        <v>0</v>
      </c>
      <c r="E290">
        <v>0</v>
      </c>
      <c r="F290">
        <v>0</v>
      </c>
      <c r="G290">
        <v>0</v>
      </c>
      <c r="H290">
        <v>0</v>
      </c>
    </row>
    <row r="291" spans="1:8" x14ac:dyDescent="0.2">
      <c r="A291">
        <v>952</v>
      </c>
      <c r="B291">
        <v>35193</v>
      </c>
      <c r="C291" t="s">
        <v>1318</v>
      </c>
      <c r="D291">
        <v>46.79</v>
      </c>
      <c r="E291">
        <v>186.79</v>
      </c>
      <c r="F291">
        <v>0</v>
      </c>
      <c r="G291">
        <v>0</v>
      </c>
      <c r="H291">
        <v>0</v>
      </c>
    </row>
    <row r="292" spans="1:8" x14ac:dyDescent="0.2">
      <c r="A292">
        <v>952</v>
      </c>
      <c r="B292">
        <v>35194</v>
      </c>
      <c r="C292" t="s">
        <v>1319</v>
      </c>
      <c r="D292">
        <v>4766.45</v>
      </c>
      <c r="E292">
        <v>52497.13</v>
      </c>
      <c r="F292">
        <v>0</v>
      </c>
      <c r="G292">
        <v>0</v>
      </c>
      <c r="H292">
        <v>0</v>
      </c>
    </row>
    <row r="293" spans="1:8" x14ac:dyDescent="0.2">
      <c r="A293">
        <v>952</v>
      </c>
      <c r="B293">
        <v>35195</v>
      </c>
      <c r="C293" t="s">
        <v>585</v>
      </c>
      <c r="D293">
        <v>0</v>
      </c>
      <c r="E293">
        <v>33.5</v>
      </c>
      <c r="F293">
        <v>0</v>
      </c>
      <c r="G293">
        <v>411.28</v>
      </c>
      <c r="H293">
        <v>411.28</v>
      </c>
    </row>
    <row r="294" spans="1:8" x14ac:dyDescent="0.2">
      <c r="A294">
        <v>952</v>
      </c>
      <c r="B294">
        <v>35196</v>
      </c>
      <c r="C294" t="s">
        <v>586</v>
      </c>
      <c r="D294">
        <v>5291.19</v>
      </c>
      <c r="E294">
        <v>20842.580000000002</v>
      </c>
      <c r="F294">
        <v>30000</v>
      </c>
      <c r="G294">
        <v>17861.93</v>
      </c>
      <c r="H294">
        <v>17861.93</v>
      </c>
    </row>
    <row r="295" spans="1:8" x14ac:dyDescent="0.2">
      <c r="A295">
        <v>952</v>
      </c>
      <c r="B295">
        <v>35197</v>
      </c>
      <c r="C295" t="s">
        <v>895</v>
      </c>
      <c r="D295">
        <v>0</v>
      </c>
      <c r="E295">
        <v>0</v>
      </c>
      <c r="F295">
        <v>0</v>
      </c>
      <c r="G295">
        <v>0</v>
      </c>
      <c r="H295">
        <v>0</v>
      </c>
    </row>
    <row r="296" spans="1:8" x14ac:dyDescent="0.2">
      <c r="A296">
        <v>952</v>
      </c>
      <c r="B296">
        <v>35198</v>
      </c>
      <c r="C296" t="s">
        <v>587</v>
      </c>
      <c r="D296">
        <v>0</v>
      </c>
      <c r="E296">
        <v>0</v>
      </c>
      <c r="F296">
        <v>0</v>
      </c>
      <c r="G296">
        <v>0</v>
      </c>
      <c r="H296">
        <v>0</v>
      </c>
    </row>
    <row r="297" spans="1:8" x14ac:dyDescent="0.2">
      <c r="A297">
        <v>952</v>
      </c>
      <c r="B297">
        <v>35199</v>
      </c>
      <c r="C297" t="s">
        <v>588</v>
      </c>
      <c r="D297">
        <v>0</v>
      </c>
      <c r="E297">
        <v>0</v>
      </c>
      <c r="F297">
        <v>0</v>
      </c>
      <c r="G297">
        <v>0</v>
      </c>
      <c r="H297">
        <v>0</v>
      </c>
    </row>
    <row r="298" spans="1:8" x14ac:dyDescent="0.2">
      <c r="A298">
        <v>952</v>
      </c>
      <c r="B298">
        <v>35200</v>
      </c>
      <c r="C298" t="s">
        <v>506</v>
      </c>
      <c r="D298">
        <v>2133.21</v>
      </c>
      <c r="E298">
        <v>25986.77</v>
      </c>
      <c r="F298">
        <v>29849</v>
      </c>
      <c r="G298">
        <v>18475.41</v>
      </c>
      <c r="H298">
        <v>18475.41</v>
      </c>
    </row>
    <row r="299" spans="1:8" x14ac:dyDescent="0.2">
      <c r="A299">
        <v>952</v>
      </c>
      <c r="B299">
        <v>35201</v>
      </c>
      <c r="C299" t="s">
        <v>589</v>
      </c>
      <c r="D299">
        <v>0</v>
      </c>
      <c r="E299">
        <v>0</v>
      </c>
      <c r="F299">
        <v>0</v>
      </c>
      <c r="G299">
        <v>0</v>
      </c>
      <c r="H299">
        <v>0</v>
      </c>
    </row>
    <row r="300" spans="1:8" x14ac:dyDescent="0.2">
      <c r="A300">
        <v>952</v>
      </c>
      <c r="B300">
        <v>35203</v>
      </c>
      <c r="C300" t="s">
        <v>590</v>
      </c>
      <c r="D300">
        <v>0</v>
      </c>
      <c r="E300">
        <v>0</v>
      </c>
      <c r="F300">
        <v>2500</v>
      </c>
      <c r="G300">
        <v>2320.81</v>
      </c>
      <c r="H300">
        <v>2320.81</v>
      </c>
    </row>
    <row r="301" spans="1:8" x14ac:dyDescent="0.2">
      <c r="A301">
        <v>952</v>
      </c>
      <c r="B301">
        <v>35204</v>
      </c>
      <c r="C301" t="s">
        <v>591</v>
      </c>
      <c r="D301">
        <v>0</v>
      </c>
      <c r="E301">
        <v>0</v>
      </c>
      <c r="F301">
        <v>5000</v>
      </c>
      <c r="G301">
        <v>361.92</v>
      </c>
      <c r="H301">
        <v>361.92</v>
      </c>
    </row>
    <row r="302" spans="1:8" x14ac:dyDescent="0.2">
      <c r="A302">
        <v>952</v>
      </c>
      <c r="B302">
        <v>35205</v>
      </c>
      <c r="C302" t="s">
        <v>882</v>
      </c>
      <c r="D302">
        <v>0</v>
      </c>
      <c r="E302">
        <v>0</v>
      </c>
      <c r="F302">
        <v>0</v>
      </c>
      <c r="G302">
        <v>0</v>
      </c>
      <c r="H302">
        <v>0</v>
      </c>
    </row>
    <row r="303" spans="1:8" x14ac:dyDescent="0.2">
      <c r="A303">
        <v>952</v>
      </c>
      <c r="B303">
        <v>35210</v>
      </c>
      <c r="C303" t="s">
        <v>592</v>
      </c>
      <c r="D303">
        <v>0</v>
      </c>
      <c r="E303">
        <v>0</v>
      </c>
      <c r="F303">
        <v>0</v>
      </c>
      <c r="G303">
        <v>0</v>
      </c>
      <c r="H303">
        <v>0</v>
      </c>
    </row>
    <row r="304" spans="1:8" x14ac:dyDescent="0.2">
      <c r="A304">
        <v>952</v>
      </c>
      <c r="B304">
        <v>35215</v>
      </c>
      <c r="C304" t="s">
        <v>593</v>
      </c>
      <c r="D304">
        <v>0</v>
      </c>
      <c r="E304">
        <v>456.39</v>
      </c>
      <c r="F304">
        <v>1500</v>
      </c>
      <c r="G304">
        <v>626.08000000000004</v>
      </c>
      <c r="H304">
        <v>626.08000000000004</v>
      </c>
    </row>
    <row r="305" spans="1:8" x14ac:dyDescent="0.2">
      <c r="A305">
        <v>952</v>
      </c>
      <c r="B305">
        <v>35220</v>
      </c>
      <c r="C305" t="s">
        <v>594</v>
      </c>
      <c r="D305">
        <v>719.81</v>
      </c>
      <c r="E305">
        <v>5236.0600000000004</v>
      </c>
      <c r="F305">
        <v>5500</v>
      </c>
      <c r="G305">
        <v>5043.3100000000004</v>
      </c>
      <c r="H305">
        <v>5043.3100000000004</v>
      </c>
    </row>
    <row r="306" spans="1:8" x14ac:dyDescent="0.2">
      <c r="A306">
        <v>952</v>
      </c>
      <c r="B306">
        <v>35225</v>
      </c>
      <c r="C306" t="s">
        <v>56</v>
      </c>
      <c r="D306">
        <v>0</v>
      </c>
      <c r="E306">
        <v>0</v>
      </c>
      <c r="F306">
        <v>0</v>
      </c>
      <c r="G306">
        <v>0</v>
      </c>
      <c r="H306">
        <v>0</v>
      </c>
    </row>
    <row r="307" spans="1:8" x14ac:dyDescent="0.2">
      <c r="A307">
        <v>952</v>
      </c>
      <c r="B307">
        <v>35230</v>
      </c>
      <c r="C307" t="s">
        <v>510</v>
      </c>
      <c r="D307">
        <v>1310.45</v>
      </c>
      <c r="E307">
        <v>11178.29</v>
      </c>
      <c r="F307">
        <v>9800</v>
      </c>
      <c r="G307">
        <v>9373.9599999999991</v>
      </c>
      <c r="H307">
        <v>9373.9599999999991</v>
      </c>
    </row>
    <row r="308" spans="1:8" x14ac:dyDescent="0.2">
      <c r="A308">
        <v>952</v>
      </c>
      <c r="B308">
        <v>35250</v>
      </c>
      <c r="C308" t="s">
        <v>536</v>
      </c>
      <c r="D308">
        <v>0</v>
      </c>
      <c r="E308">
        <v>0</v>
      </c>
      <c r="F308">
        <v>0</v>
      </c>
      <c r="G308">
        <v>0</v>
      </c>
      <c r="H308">
        <v>0</v>
      </c>
    </row>
    <row r="309" spans="1:8" x14ac:dyDescent="0.2">
      <c r="A309">
        <v>952</v>
      </c>
      <c r="B309">
        <v>35253</v>
      </c>
      <c r="C309" t="s">
        <v>493</v>
      </c>
      <c r="D309">
        <v>0</v>
      </c>
      <c r="E309">
        <v>0</v>
      </c>
      <c r="F309">
        <v>0</v>
      </c>
      <c r="G309">
        <v>0</v>
      </c>
      <c r="H309">
        <v>0</v>
      </c>
    </row>
    <row r="310" spans="1:8" x14ac:dyDescent="0.2">
      <c r="A310">
        <v>952</v>
      </c>
      <c r="B310">
        <v>35255</v>
      </c>
      <c r="C310" t="s">
        <v>610</v>
      </c>
      <c r="D310">
        <v>0</v>
      </c>
      <c r="E310">
        <v>0</v>
      </c>
      <c r="F310">
        <v>0</v>
      </c>
      <c r="G310">
        <v>0</v>
      </c>
      <c r="H310">
        <v>0</v>
      </c>
    </row>
    <row r="311" spans="1:8" x14ac:dyDescent="0.2">
      <c r="A311">
        <v>952</v>
      </c>
      <c r="B311">
        <v>35258</v>
      </c>
      <c r="C311" t="s">
        <v>514</v>
      </c>
      <c r="D311">
        <v>0</v>
      </c>
      <c r="E311">
        <v>0</v>
      </c>
      <c r="F311">
        <v>0</v>
      </c>
      <c r="G311">
        <v>0</v>
      </c>
      <c r="H311">
        <v>0</v>
      </c>
    </row>
    <row r="312" spans="1:8" x14ac:dyDescent="0.2">
      <c r="A312">
        <v>952</v>
      </c>
      <c r="B312">
        <v>35260</v>
      </c>
      <c r="C312" t="s">
        <v>563</v>
      </c>
      <c r="D312">
        <v>0</v>
      </c>
      <c r="E312">
        <v>0</v>
      </c>
      <c r="F312">
        <v>0</v>
      </c>
      <c r="G312">
        <v>0</v>
      </c>
      <c r="H312">
        <v>0</v>
      </c>
    </row>
    <row r="313" spans="1:8" x14ac:dyDescent="0.2">
      <c r="A313">
        <v>952</v>
      </c>
      <c r="B313">
        <v>35263</v>
      </c>
      <c r="C313" t="s">
        <v>565</v>
      </c>
      <c r="D313">
        <v>0</v>
      </c>
      <c r="E313">
        <v>0</v>
      </c>
      <c r="F313">
        <v>0</v>
      </c>
      <c r="G313">
        <v>0</v>
      </c>
      <c r="H313">
        <v>0</v>
      </c>
    </row>
    <row r="314" spans="1:8" x14ac:dyDescent="0.2">
      <c r="A314">
        <v>952</v>
      </c>
      <c r="B314">
        <v>35265</v>
      </c>
      <c r="C314" t="s">
        <v>485</v>
      </c>
      <c r="D314">
        <v>0</v>
      </c>
      <c r="E314">
        <v>0</v>
      </c>
      <c r="F314">
        <v>0</v>
      </c>
      <c r="G314">
        <v>0</v>
      </c>
      <c r="H314">
        <v>0</v>
      </c>
    </row>
    <row r="315" spans="1:8" x14ac:dyDescent="0.2">
      <c r="A315">
        <v>952</v>
      </c>
      <c r="B315">
        <v>35270</v>
      </c>
      <c r="C315" t="s">
        <v>538</v>
      </c>
      <c r="D315">
        <v>0</v>
      </c>
      <c r="E315">
        <v>0</v>
      </c>
      <c r="F315">
        <v>0</v>
      </c>
      <c r="G315">
        <v>0</v>
      </c>
      <c r="H315">
        <v>0</v>
      </c>
    </row>
    <row r="316" spans="1:8" x14ac:dyDescent="0.2">
      <c r="A316">
        <v>952</v>
      </c>
      <c r="B316">
        <v>35273</v>
      </c>
      <c r="C316" t="s">
        <v>814</v>
      </c>
      <c r="D316">
        <v>0</v>
      </c>
      <c r="E316">
        <v>0</v>
      </c>
      <c r="F316">
        <v>0</v>
      </c>
      <c r="G316">
        <v>0</v>
      </c>
      <c r="H316">
        <v>0</v>
      </c>
    </row>
    <row r="317" spans="1:8" x14ac:dyDescent="0.2">
      <c r="A317">
        <v>952</v>
      </c>
      <c r="B317">
        <v>35275</v>
      </c>
      <c r="C317" t="s">
        <v>551</v>
      </c>
      <c r="D317">
        <v>0</v>
      </c>
      <c r="E317">
        <v>0</v>
      </c>
      <c r="F317">
        <v>0</v>
      </c>
      <c r="G317">
        <v>0</v>
      </c>
      <c r="H317">
        <v>0</v>
      </c>
    </row>
    <row r="318" spans="1:8" x14ac:dyDescent="0.2">
      <c r="A318">
        <v>952</v>
      </c>
      <c r="B318">
        <v>35278</v>
      </c>
      <c r="C318" t="s">
        <v>566</v>
      </c>
      <c r="D318">
        <v>0</v>
      </c>
      <c r="E318">
        <v>0</v>
      </c>
      <c r="F318">
        <v>0</v>
      </c>
      <c r="G318">
        <v>0</v>
      </c>
      <c r="H318">
        <v>0</v>
      </c>
    </row>
    <row r="319" spans="1:8" x14ac:dyDescent="0.2">
      <c r="A319">
        <v>952</v>
      </c>
      <c r="B319">
        <v>35280</v>
      </c>
      <c r="C319" t="s">
        <v>611</v>
      </c>
      <c r="D319">
        <v>0</v>
      </c>
      <c r="E319">
        <v>0</v>
      </c>
      <c r="F319">
        <v>0</v>
      </c>
      <c r="G319">
        <v>0</v>
      </c>
      <c r="H319">
        <v>0</v>
      </c>
    </row>
    <row r="320" spans="1:8" x14ac:dyDescent="0.2">
      <c r="A320">
        <v>952</v>
      </c>
      <c r="B320">
        <v>35283</v>
      </c>
      <c r="C320" t="s">
        <v>574</v>
      </c>
      <c r="D320">
        <v>0</v>
      </c>
      <c r="E320">
        <v>0</v>
      </c>
      <c r="F320">
        <v>0</v>
      </c>
      <c r="G320">
        <v>0</v>
      </c>
      <c r="H320">
        <v>0</v>
      </c>
    </row>
    <row r="321" spans="1:8" x14ac:dyDescent="0.2">
      <c r="A321">
        <v>952</v>
      </c>
      <c r="B321">
        <v>35290</v>
      </c>
      <c r="C321" t="s">
        <v>612</v>
      </c>
      <c r="D321">
        <v>0</v>
      </c>
      <c r="E321">
        <v>0</v>
      </c>
      <c r="F321">
        <v>0</v>
      </c>
      <c r="G321">
        <v>0</v>
      </c>
      <c r="H321">
        <v>0</v>
      </c>
    </row>
    <row r="322" spans="1:8" x14ac:dyDescent="0.2">
      <c r="A322">
        <v>952</v>
      </c>
      <c r="B322">
        <v>35291</v>
      </c>
      <c r="C322" t="s">
        <v>589</v>
      </c>
      <c r="D322">
        <v>0</v>
      </c>
      <c r="E322">
        <v>0</v>
      </c>
      <c r="F322">
        <v>0</v>
      </c>
      <c r="G322">
        <v>0</v>
      </c>
      <c r="H322">
        <v>0</v>
      </c>
    </row>
    <row r="323" spans="1:8" x14ac:dyDescent="0.2">
      <c r="A323">
        <v>952</v>
      </c>
      <c r="B323">
        <v>35292</v>
      </c>
      <c r="C323" t="s">
        <v>882</v>
      </c>
      <c r="D323">
        <v>0</v>
      </c>
      <c r="E323">
        <v>0</v>
      </c>
      <c r="F323">
        <v>0</v>
      </c>
      <c r="G323">
        <v>0</v>
      </c>
      <c r="H323">
        <v>0</v>
      </c>
    </row>
    <row r="324" spans="1:8" x14ac:dyDescent="0.2">
      <c r="A324">
        <v>952</v>
      </c>
      <c r="B324">
        <v>35295</v>
      </c>
      <c r="C324" t="s">
        <v>552</v>
      </c>
      <c r="D324">
        <v>0</v>
      </c>
      <c r="E324">
        <v>0</v>
      </c>
      <c r="F324">
        <v>0</v>
      </c>
      <c r="G324">
        <v>0</v>
      </c>
      <c r="H324">
        <v>0</v>
      </c>
    </row>
    <row r="325" spans="1:8" x14ac:dyDescent="0.2">
      <c r="A325">
        <v>952</v>
      </c>
      <c r="B325">
        <v>35296</v>
      </c>
      <c r="C325" t="s">
        <v>553</v>
      </c>
      <c r="D325">
        <v>0</v>
      </c>
      <c r="E325">
        <v>0</v>
      </c>
      <c r="F325">
        <v>0</v>
      </c>
      <c r="G325">
        <v>0</v>
      </c>
      <c r="H325">
        <v>0</v>
      </c>
    </row>
    <row r="326" spans="1:8" x14ac:dyDescent="0.2">
      <c r="A326">
        <v>952</v>
      </c>
      <c r="B326">
        <v>35297</v>
      </c>
      <c r="C326" t="s">
        <v>513</v>
      </c>
      <c r="D326">
        <v>0</v>
      </c>
      <c r="E326">
        <v>0</v>
      </c>
      <c r="F326">
        <v>0</v>
      </c>
      <c r="G326">
        <v>0</v>
      </c>
      <c r="H326">
        <v>0</v>
      </c>
    </row>
    <row r="327" spans="1:8" x14ac:dyDescent="0.2">
      <c r="A327">
        <v>952</v>
      </c>
      <c r="B327">
        <v>35298</v>
      </c>
      <c r="C327" t="s">
        <v>510</v>
      </c>
      <c r="D327">
        <v>0</v>
      </c>
      <c r="E327">
        <v>0</v>
      </c>
      <c r="F327">
        <v>0</v>
      </c>
      <c r="G327">
        <v>0</v>
      </c>
      <c r="H327">
        <v>0</v>
      </c>
    </row>
    <row r="328" spans="1:8" x14ac:dyDescent="0.2">
      <c r="A328">
        <v>952</v>
      </c>
      <c r="B328">
        <v>35300</v>
      </c>
      <c r="C328" t="s">
        <v>493</v>
      </c>
      <c r="D328">
        <v>6.5</v>
      </c>
      <c r="E328">
        <v>180.49</v>
      </c>
      <c r="F328">
        <v>400</v>
      </c>
      <c r="G328">
        <v>1299.19</v>
      </c>
      <c r="H328">
        <v>1299.19</v>
      </c>
    </row>
    <row r="329" spans="1:8" x14ac:dyDescent="0.2">
      <c r="A329">
        <v>952</v>
      </c>
      <c r="B329">
        <v>35305</v>
      </c>
      <c r="C329" t="s">
        <v>613</v>
      </c>
      <c r="D329">
        <v>184.69</v>
      </c>
      <c r="E329">
        <v>2095.67</v>
      </c>
      <c r="F329">
        <v>2000</v>
      </c>
      <c r="G329">
        <v>4843.1899999999996</v>
      </c>
      <c r="H329">
        <v>4843.1899999999996</v>
      </c>
    </row>
    <row r="330" spans="1:8" x14ac:dyDescent="0.2">
      <c r="A330">
        <v>952</v>
      </c>
      <c r="B330">
        <v>35310</v>
      </c>
      <c r="C330" t="s">
        <v>514</v>
      </c>
      <c r="D330">
        <v>0</v>
      </c>
      <c r="E330">
        <v>0</v>
      </c>
      <c r="F330">
        <v>0</v>
      </c>
      <c r="G330">
        <v>0</v>
      </c>
      <c r="H330">
        <v>0</v>
      </c>
    </row>
    <row r="331" spans="1:8" x14ac:dyDescent="0.2">
      <c r="A331">
        <v>952</v>
      </c>
      <c r="B331">
        <v>35315</v>
      </c>
      <c r="C331" t="s">
        <v>512</v>
      </c>
      <c r="D331">
        <v>0</v>
      </c>
      <c r="E331">
        <v>0</v>
      </c>
      <c r="F331">
        <v>0</v>
      </c>
      <c r="G331">
        <v>28.5</v>
      </c>
      <c r="H331">
        <v>28.5</v>
      </c>
    </row>
    <row r="332" spans="1:8" x14ac:dyDescent="0.2">
      <c r="A332">
        <v>952</v>
      </c>
      <c r="B332">
        <v>35320</v>
      </c>
      <c r="C332" t="s">
        <v>614</v>
      </c>
      <c r="D332">
        <v>0</v>
      </c>
      <c r="E332">
        <v>0</v>
      </c>
      <c r="F332">
        <v>0</v>
      </c>
      <c r="G332">
        <v>1847.82</v>
      </c>
      <c r="H332">
        <v>1847.82</v>
      </c>
    </row>
    <row r="333" spans="1:8" x14ac:dyDescent="0.2">
      <c r="A333">
        <v>952</v>
      </c>
      <c r="B333">
        <v>35325</v>
      </c>
      <c r="C333" t="s">
        <v>565</v>
      </c>
      <c r="D333">
        <v>0</v>
      </c>
      <c r="E333">
        <v>190</v>
      </c>
      <c r="F333">
        <v>500</v>
      </c>
      <c r="G333">
        <v>110.87</v>
      </c>
      <c r="H333">
        <v>110.87</v>
      </c>
    </row>
    <row r="334" spans="1:8" x14ac:dyDescent="0.2">
      <c r="A334">
        <v>952</v>
      </c>
      <c r="B334">
        <v>35330</v>
      </c>
      <c r="C334" t="s">
        <v>485</v>
      </c>
      <c r="D334">
        <v>118.29</v>
      </c>
      <c r="E334">
        <v>748.76</v>
      </c>
      <c r="F334">
        <v>1200</v>
      </c>
      <c r="G334">
        <v>621.54999999999995</v>
      </c>
      <c r="H334">
        <v>621.54999999999995</v>
      </c>
    </row>
    <row r="335" spans="1:8" x14ac:dyDescent="0.2">
      <c r="A335">
        <v>952</v>
      </c>
      <c r="B335">
        <v>35335</v>
      </c>
      <c r="C335" t="s">
        <v>615</v>
      </c>
      <c r="D335">
        <v>0</v>
      </c>
      <c r="E335">
        <v>1266.98</v>
      </c>
      <c r="F335">
        <v>1500</v>
      </c>
      <c r="G335">
        <v>1439.1</v>
      </c>
      <c r="H335">
        <v>1439.1</v>
      </c>
    </row>
    <row r="336" spans="1:8" x14ac:dyDescent="0.2">
      <c r="A336">
        <v>952</v>
      </c>
      <c r="B336">
        <v>35340</v>
      </c>
      <c r="C336" t="s">
        <v>814</v>
      </c>
      <c r="D336">
        <v>351.05</v>
      </c>
      <c r="E336">
        <v>2197.25</v>
      </c>
      <c r="F336">
        <v>2800</v>
      </c>
      <c r="G336">
        <v>3252.12</v>
      </c>
      <c r="H336">
        <v>3252.12</v>
      </c>
    </row>
    <row r="337" spans="1:8" x14ac:dyDescent="0.2">
      <c r="A337">
        <v>952</v>
      </c>
      <c r="B337">
        <v>35345</v>
      </c>
      <c r="C337" t="s">
        <v>551</v>
      </c>
      <c r="D337">
        <v>0</v>
      </c>
      <c r="E337">
        <v>0</v>
      </c>
      <c r="F337">
        <v>0</v>
      </c>
      <c r="G337">
        <v>0</v>
      </c>
      <c r="H337">
        <v>0</v>
      </c>
    </row>
    <row r="338" spans="1:8" x14ac:dyDescent="0.2">
      <c r="A338">
        <v>952</v>
      </c>
      <c r="B338">
        <v>35350</v>
      </c>
      <c r="C338" t="s">
        <v>616</v>
      </c>
      <c r="D338">
        <v>0</v>
      </c>
      <c r="E338">
        <v>0</v>
      </c>
      <c r="F338">
        <v>100</v>
      </c>
      <c r="G338">
        <v>0</v>
      </c>
      <c r="H338">
        <v>0</v>
      </c>
    </row>
    <row r="339" spans="1:8" x14ac:dyDescent="0.2">
      <c r="A339">
        <v>952</v>
      </c>
      <c r="B339">
        <v>35355</v>
      </c>
      <c r="C339" t="s">
        <v>611</v>
      </c>
      <c r="D339">
        <v>0</v>
      </c>
      <c r="E339">
        <v>0</v>
      </c>
      <c r="F339">
        <v>0</v>
      </c>
      <c r="G339">
        <v>0</v>
      </c>
      <c r="H339">
        <v>0</v>
      </c>
    </row>
    <row r="340" spans="1:8" x14ac:dyDescent="0.2">
      <c r="A340">
        <v>952</v>
      </c>
      <c r="B340">
        <v>35360</v>
      </c>
      <c r="C340" t="s">
        <v>617</v>
      </c>
      <c r="D340">
        <v>37.9</v>
      </c>
      <c r="E340">
        <v>529.59</v>
      </c>
      <c r="F340">
        <v>1000</v>
      </c>
      <c r="G340">
        <v>878.15</v>
      </c>
      <c r="H340">
        <v>878.15</v>
      </c>
    </row>
    <row r="341" spans="1:8" x14ac:dyDescent="0.2">
      <c r="A341">
        <v>952</v>
      </c>
      <c r="B341">
        <v>35361</v>
      </c>
      <c r="C341" t="s">
        <v>1149</v>
      </c>
      <c r="D341">
        <v>0</v>
      </c>
      <c r="E341">
        <v>0</v>
      </c>
      <c r="F341">
        <v>200</v>
      </c>
      <c r="G341">
        <v>181.73</v>
      </c>
      <c r="H341">
        <v>181.73</v>
      </c>
    </row>
    <row r="342" spans="1:8" x14ac:dyDescent="0.2">
      <c r="A342">
        <v>952</v>
      </c>
      <c r="B342">
        <v>35365</v>
      </c>
      <c r="C342" t="s">
        <v>618</v>
      </c>
      <c r="D342">
        <v>0</v>
      </c>
      <c r="E342">
        <v>0</v>
      </c>
      <c r="F342">
        <v>0</v>
      </c>
      <c r="G342">
        <v>0</v>
      </c>
      <c r="H342">
        <v>0</v>
      </c>
    </row>
    <row r="343" spans="1:8" x14ac:dyDescent="0.2">
      <c r="A343">
        <v>952</v>
      </c>
      <c r="B343">
        <v>35400</v>
      </c>
      <c r="C343" t="s">
        <v>506</v>
      </c>
      <c r="D343">
        <v>3406.73</v>
      </c>
      <c r="E343">
        <v>23202.92</v>
      </c>
      <c r="F343">
        <v>19500</v>
      </c>
      <c r="G343">
        <v>18300.14</v>
      </c>
      <c r="H343">
        <v>18300.14</v>
      </c>
    </row>
    <row r="344" spans="1:8" x14ac:dyDescent="0.2">
      <c r="A344">
        <v>952</v>
      </c>
      <c r="B344">
        <v>35401</v>
      </c>
      <c r="C344" t="s">
        <v>589</v>
      </c>
      <c r="D344">
        <v>0</v>
      </c>
      <c r="E344">
        <v>0</v>
      </c>
      <c r="F344">
        <v>0</v>
      </c>
      <c r="G344">
        <v>0</v>
      </c>
      <c r="H344">
        <v>0</v>
      </c>
    </row>
    <row r="345" spans="1:8" x14ac:dyDescent="0.2">
      <c r="A345">
        <v>952</v>
      </c>
      <c r="B345">
        <v>35410</v>
      </c>
      <c r="C345" t="s">
        <v>619</v>
      </c>
      <c r="D345">
        <v>0</v>
      </c>
      <c r="E345">
        <v>982.71</v>
      </c>
      <c r="F345">
        <v>1000</v>
      </c>
      <c r="G345">
        <v>201.96</v>
      </c>
      <c r="H345">
        <v>201.96</v>
      </c>
    </row>
    <row r="346" spans="1:8" x14ac:dyDescent="0.2">
      <c r="A346">
        <v>952</v>
      </c>
      <c r="B346">
        <v>35415</v>
      </c>
      <c r="C346" t="s">
        <v>448</v>
      </c>
      <c r="D346">
        <v>646.07000000000005</v>
      </c>
      <c r="E346">
        <v>5457.31</v>
      </c>
      <c r="F346">
        <v>5000</v>
      </c>
      <c r="G346">
        <v>4244.58</v>
      </c>
      <c r="H346">
        <v>4244.58</v>
      </c>
    </row>
    <row r="347" spans="1:8" x14ac:dyDescent="0.2">
      <c r="A347">
        <v>952</v>
      </c>
      <c r="B347">
        <v>35420</v>
      </c>
      <c r="C347" t="s">
        <v>57</v>
      </c>
      <c r="D347">
        <v>0</v>
      </c>
      <c r="E347">
        <v>0</v>
      </c>
      <c r="F347">
        <v>0</v>
      </c>
      <c r="G347">
        <v>0</v>
      </c>
      <c r="H347">
        <v>0</v>
      </c>
    </row>
    <row r="348" spans="1:8" x14ac:dyDescent="0.2">
      <c r="A348">
        <v>952</v>
      </c>
      <c r="B348">
        <v>35425</v>
      </c>
      <c r="C348" t="s">
        <v>510</v>
      </c>
      <c r="D348">
        <v>217.04</v>
      </c>
      <c r="E348">
        <v>1630.4</v>
      </c>
      <c r="F348">
        <v>2200</v>
      </c>
      <c r="G348">
        <v>1565.8</v>
      </c>
      <c r="H348">
        <v>1565.8</v>
      </c>
    </row>
    <row r="349" spans="1:8" x14ac:dyDescent="0.2">
      <c r="A349">
        <v>952</v>
      </c>
      <c r="B349">
        <v>35510</v>
      </c>
      <c r="C349" t="s">
        <v>620</v>
      </c>
      <c r="D349">
        <v>24319.31</v>
      </c>
      <c r="E349">
        <v>319049.59000000003</v>
      </c>
      <c r="F349">
        <v>305000</v>
      </c>
      <c r="G349">
        <v>274654.15000000002</v>
      </c>
      <c r="H349">
        <v>274654.15000000002</v>
      </c>
    </row>
    <row r="350" spans="1:8" x14ac:dyDescent="0.2">
      <c r="A350">
        <v>952</v>
      </c>
      <c r="B350">
        <v>35515</v>
      </c>
      <c r="C350" t="s">
        <v>621</v>
      </c>
      <c r="D350">
        <v>602</v>
      </c>
      <c r="E350">
        <v>5913.78</v>
      </c>
      <c r="F350">
        <v>12000</v>
      </c>
      <c r="G350">
        <v>9477.25</v>
      </c>
      <c r="H350">
        <v>9477.25</v>
      </c>
    </row>
    <row r="351" spans="1:8" x14ac:dyDescent="0.2">
      <c r="A351">
        <v>952</v>
      </c>
      <c r="B351">
        <v>35520</v>
      </c>
      <c r="C351" t="s">
        <v>622</v>
      </c>
      <c r="D351">
        <v>1304.3399999999999</v>
      </c>
      <c r="E351">
        <v>48484.13</v>
      </c>
      <c r="F351">
        <v>40766</v>
      </c>
      <c r="G351">
        <v>45351.7</v>
      </c>
      <c r="H351">
        <v>45351.7</v>
      </c>
    </row>
    <row r="352" spans="1:8" x14ac:dyDescent="0.2">
      <c r="A352">
        <v>952</v>
      </c>
      <c r="B352">
        <v>35525</v>
      </c>
      <c r="C352" t="s">
        <v>623</v>
      </c>
      <c r="D352">
        <v>5469.14</v>
      </c>
      <c r="E352">
        <v>68039.5</v>
      </c>
      <c r="F352">
        <v>190410</v>
      </c>
      <c r="G352">
        <v>56090.55</v>
      </c>
      <c r="H352">
        <v>56090.55</v>
      </c>
    </row>
    <row r="353" spans="1:8" x14ac:dyDescent="0.2">
      <c r="A353">
        <v>952</v>
      </c>
      <c r="B353">
        <v>35526</v>
      </c>
      <c r="C353" t="s">
        <v>1150</v>
      </c>
      <c r="D353">
        <v>4321.6000000000004</v>
      </c>
      <c r="E353">
        <v>38709.730000000003</v>
      </c>
      <c r="F353">
        <v>38000</v>
      </c>
      <c r="G353">
        <v>35645.57</v>
      </c>
      <c r="H353">
        <v>35645.57</v>
      </c>
    </row>
    <row r="354" spans="1:8" x14ac:dyDescent="0.2">
      <c r="A354">
        <v>952</v>
      </c>
      <c r="B354">
        <v>35527</v>
      </c>
      <c r="C354" t="s">
        <v>1151</v>
      </c>
      <c r="D354">
        <v>316.44</v>
      </c>
      <c r="E354">
        <v>2938.38</v>
      </c>
      <c r="F354">
        <v>8250</v>
      </c>
      <c r="G354">
        <v>7632.31</v>
      </c>
      <c r="H354">
        <v>7632.31</v>
      </c>
    </row>
    <row r="355" spans="1:8" x14ac:dyDescent="0.2">
      <c r="A355">
        <v>952</v>
      </c>
      <c r="B355">
        <v>35528</v>
      </c>
      <c r="C355" t="s">
        <v>1152</v>
      </c>
      <c r="D355">
        <v>3764.08</v>
      </c>
      <c r="E355">
        <v>39803.730000000003</v>
      </c>
      <c r="F355">
        <v>60000</v>
      </c>
      <c r="G355">
        <v>44392.04</v>
      </c>
      <c r="H355">
        <v>44392.04</v>
      </c>
    </row>
    <row r="356" spans="1:8" x14ac:dyDescent="0.2">
      <c r="A356">
        <v>952</v>
      </c>
      <c r="B356">
        <v>35529</v>
      </c>
      <c r="C356" t="s">
        <v>1252</v>
      </c>
      <c r="D356">
        <v>0</v>
      </c>
      <c r="E356">
        <v>1253.95</v>
      </c>
      <c r="F356">
        <v>20000</v>
      </c>
      <c r="G356">
        <v>0</v>
      </c>
      <c r="H356">
        <v>0</v>
      </c>
    </row>
    <row r="357" spans="1:8" x14ac:dyDescent="0.2">
      <c r="A357">
        <v>952</v>
      </c>
      <c r="B357">
        <v>35530</v>
      </c>
      <c r="C357" t="s">
        <v>624</v>
      </c>
      <c r="D357">
        <v>0</v>
      </c>
      <c r="E357">
        <v>421.06</v>
      </c>
      <c r="F357">
        <v>3000</v>
      </c>
      <c r="G357">
        <v>758.51</v>
      </c>
      <c r="H357">
        <v>758.51</v>
      </c>
    </row>
    <row r="358" spans="1:8" x14ac:dyDescent="0.2">
      <c r="A358">
        <v>952</v>
      </c>
      <c r="B358">
        <v>35535</v>
      </c>
      <c r="C358" t="s">
        <v>625</v>
      </c>
      <c r="D358">
        <v>0</v>
      </c>
      <c r="E358">
        <v>5450.05</v>
      </c>
      <c r="F358">
        <v>8000</v>
      </c>
      <c r="G358">
        <v>4645.97</v>
      </c>
      <c r="H358">
        <v>4645.97</v>
      </c>
    </row>
    <row r="359" spans="1:8" x14ac:dyDescent="0.2">
      <c r="A359">
        <v>952</v>
      </c>
      <c r="B359">
        <v>35540</v>
      </c>
      <c r="C359" t="s">
        <v>626</v>
      </c>
      <c r="D359">
        <v>1328.34</v>
      </c>
      <c r="E359">
        <v>11935.29</v>
      </c>
      <c r="F359">
        <v>15000</v>
      </c>
      <c r="G359">
        <v>10428.9</v>
      </c>
      <c r="H359">
        <v>10428.9</v>
      </c>
    </row>
    <row r="360" spans="1:8" x14ac:dyDescent="0.2">
      <c r="A360">
        <v>952</v>
      </c>
      <c r="B360">
        <v>35545</v>
      </c>
      <c r="C360" t="s">
        <v>627</v>
      </c>
      <c r="D360">
        <v>12331.69</v>
      </c>
      <c r="E360">
        <v>13093.39</v>
      </c>
      <c r="F360">
        <v>40000</v>
      </c>
      <c r="G360">
        <v>5701.14</v>
      </c>
      <c r="H360">
        <v>5701.14</v>
      </c>
    </row>
    <row r="361" spans="1:8" x14ac:dyDescent="0.2">
      <c r="A361">
        <v>952</v>
      </c>
      <c r="B361">
        <v>35550</v>
      </c>
      <c r="C361" t="s">
        <v>78</v>
      </c>
      <c r="D361">
        <v>73.040000000000006</v>
      </c>
      <c r="E361">
        <v>8313.98</v>
      </c>
      <c r="F361">
        <v>3000</v>
      </c>
      <c r="G361">
        <v>129.88</v>
      </c>
      <c r="H361">
        <v>129.88</v>
      </c>
    </row>
    <row r="362" spans="1:8" x14ac:dyDescent="0.2">
      <c r="A362">
        <v>952</v>
      </c>
      <c r="B362">
        <v>35555</v>
      </c>
      <c r="C362" t="s">
        <v>1153</v>
      </c>
      <c r="D362">
        <v>364.51</v>
      </c>
      <c r="E362">
        <v>3991.02</v>
      </c>
      <c r="F362">
        <v>5000</v>
      </c>
      <c r="G362">
        <v>149.09</v>
      </c>
      <c r="H362">
        <v>149.09</v>
      </c>
    </row>
    <row r="363" spans="1:8" x14ac:dyDescent="0.2">
      <c r="A363">
        <v>952</v>
      </c>
      <c r="B363">
        <v>35600</v>
      </c>
      <c r="C363" t="s">
        <v>493</v>
      </c>
      <c r="D363">
        <v>0</v>
      </c>
      <c r="E363">
        <v>599.88</v>
      </c>
      <c r="F363">
        <v>500</v>
      </c>
      <c r="G363">
        <v>425.94</v>
      </c>
      <c r="H363">
        <v>425.94</v>
      </c>
    </row>
    <row r="364" spans="1:8" x14ac:dyDescent="0.2">
      <c r="A364">
        <v>952</v>
      </c>
      <c r="B364">
        <v>35605</v>
      </c>
      <c r="C364" t="s">
        <v>628</v>
      </c>
      <c r="D364">
        <v>142.11000000000001</v>
      </c>
      <c r="E364">
        <v>1965.72</v>
      </c>
      <c r="F364">
        <v>1800</v>
      </c>
      <c r="G364">
        <v>5486.06</v>
      </c>
      <c r="H364">
        <v>5486.06</v>
      </c>
    </row>
    <row r="365" spans="1:8" x14ac:dyDescent="0.2">
      <c r="A365">
        <v>952</v>
      </c>
      <c r="B365">
        <v>35610</v>
      </c>
      <c r="C365" t="s">
        <v>514</v>
      </c>
      <c r="D365">
        <v>0</v>
      </c>
      <c r="E365">
        <v>0</v>
      </c>
      <c r="F365">
        <v>0</v>
      </c>
      <c r="G365">
        <v>0</v>
      </c>
      <c r="H365">
        <v>0</v>
      </c>
    </row>
    <row r="366" spans="1:8" x14ac:dyDescent="0.2">
      <c r="A366">
        <v>952</v>
      </c>
      <c r="B366">
        <v>35615</v>
      </c>
      <c r="C366" t="s">
        <v>563</v>
      </c>
      <c r="D366">
        <v>0</v>
      </c>
      <c r="E366">
        <v>0</v>
      </c>
      <c r="F366">
        <v>0</v>
      </c>
      <c r="G366">
        <v>0</v>
      </c>
      <c r="H366">
        <v>0</v>
      </c>
    </row>
    <row r="367" spans="1:8" x14ac:dyDescent="0.2">
      <c r="A367">
        <v>952</v>
      </c>
      <c r="B367">
        <v>35620</v>
      </c>
      <c r="C367" t="s">
        <v>614</v>
      </c>
      <c r="D367">
        <v>0</v>
      </c>
      <c r="E367">
        <v>0</v>
      </c>
      <c r="F367">
        <v>0</v>
      </c>
      <c r="G367">
        <v>1000</v>
      </c>
      <c r="H367">
        <v>1000</v>
      </c>
    </row>
    <row r="368" spans="1:8" x14ac:dyDescent="0.2">
      <c r="A368">
        <v>952</v>
      </c>
      <c r="B368">
        <v>35625</v>
      </c>
      <c r="C368" t="s">
        <v>565</v>
      </c>
      <c r="D368">
        <v>0</v>
      </c>
      <c r="E368">
        <v>177.23</v>
      </c>
      <c r="F368">
        <v>400</v>
      </c>
      <c r="G368">
        <v>256.83</v>
      </c>
      <c r="H368">
        <v>256.83</v>
      </c>
    </row>
    <row r="369" spans="1:8" x14ac:dyDescent="0.2">
      <c r="A369">
        <v>952</v>
      </c>
      <c r="B369">
        <v>35630</v>
      </c>
      <c r="C369" t="s">
        <v>538</v>
      </c>
      <c r="D369">
        <v>29.85</v>
      </c>
      <c r="E369">
        <v>640.77</v>
      </c>
      <c r="F369">
        <v>800</v>
      </c>
      <c r="G369">
        <v>619.83000000000004</v>
      </c>
      <c r="H369">
        <v>619.83000000000004</v>
      </c>
    </row>
    <row r="370" spans="1:8" x14ac:dyDescent="0.2">
      <c r="A370">
        <v>952</v>
      </c>
      <c r="B370">
        <v>35635</v>
      </c>
      <c r="C370" t="s">
        <v>814</v>
      </c>
      <c r="D370">
        <v>468.96</v>
      </c>
      <c r="E370">
        <v>1135.76</v>
      </c>
      <c r="F370">
        <v>1500</v>
      </c>
      <c r="G370">
        <v>2279.0100000000002</v>
      </c>
      <c r="H370">
        <v>2279.0100000000002</v>
      </c>
    </row>
    <row r="371" spans="1:8" x14ac:dyDescent="0.2">
      <c r="A371">
        <v>952</v>
      </c>
      <c r="B371">
        <v>35640</v>
      </c>
      <c r="C371" t="s">
        <v>551</v>
      </c>
      <c r="D371">
        <v>0</v>
      </c>
      <c r="E371">
        <v>0</v>
      </c>
      <c r="F371">
        <v>200</v>
      </c>
      <c r="G371">
        <v>0</v>
      </c>
      <c r="H371">
        <v>0</v>
      </c>
    </row>
    <row r="372" spans="1:8" x14ac:dyDescent="0.2">
      <c r="A372">
        <v>952</v>
      </c>
      <c r="B372">
        <v>35645</v>
      </c>
      <c r="C372" t="s">
        <v>485</v>
      </c>
      <c r="D372">
        <v>95.83</v>
      </c>
      <c r="E372">
        <v>927.68</v>
      </c>
      <c r="F372">
        <v>1200</v>
      </c>
      <c r="G372">
        <v>537.82000000000005</v>
      </c>
      <c r="H372">
        <v>537.82000000000005</v>
      </c>
    </row>
    <row r="373" spans="1:8" x14ac:dyDescent="0.2">
      <c r="A373">
        <v>952</v>
      </c>
      <c r="B373">
        <v>35650</v>
      </c>
      <c r="C373" t="s">
        <v>566</v>
      </c>
      <c r="D373">
        <v>0</v>
      </c>
      <c r="E373">
        <v>0</v>
      </c>
      <c r="F373">
        <v>100</v>
      </c>
      <c r="G373">
        <v>0</v>
      </c>
      <c r="H373">
        <v>0</v>
      </c>
    </row>
    <row r="374" spans="1:8" x14ac:dyDescent="0.2">
      <c r="A374">
        <v>952</v>
      </c>
      <c r="B374">
        <v>35660</v>
      </c>
      <c r="C374" t="s">
        <v>617</v>
      </c>
      <c r="D374">
        <v>0</v>
      </c>
      <c r="E374">
        <v>1953.03</v>
      </c>
      <c r="F374">
        <v>1500</v>
      </c>
      <c r="G374">
        <v>1724.62</v>
      </c>
      <c r="H374">
        <v>1724.62</v>
      </c>
    </row>
    <row r="375" spans="1:8" x14ac:dyDescent="0.2">
      <c r="A375">
        <v>952</v>
      </c>
      <c r="B375">
        <v>35665</v>
      </c>
      <c r="C375" t="s">
        <v>1149</v>
      </c>
      <c r="D375">
        <v>0</v>
      </c>
      <c r="E375">
        <v>37.409999999999997</v>
      </c>
      <c r="F375">
        <v>200</v>
      </c>
      <c r="G375">
        <v>161.84</v>
      </c>
      <c r="H375">
        <v>161.84</v>
      </c>
    </row>
    <row r="376" spans="1:8" x14ac:dyDescent="0.2">
      <c r="A376">
        <v>952</v>
      </c>
      <c r="B376">
        <v>35700</v>
      </c>
      <c r="C376" t="s">
        <v>506</v>
      </c>
      <c r="D376">
        <v>2587.79</v>
      </c>
      <c r="E376">
        <v>22355.03</v>
      </c>
      <c r="F376">
        <v>29022</v>
      </c>
      <c r="G376">
        <v>21151.13</v>
      </c>
      <c r="H376">
        <v>21151.13</v>
      </c>
    </row>
    <row r="377" spans="1:8" x14ac:dyDescent="0.2">
      <c r="A377">
        <v>952</v>
      </c>
      <c r="B377">
        <v>35702</v>
      </c>
      <c r="C377" t="s">
        <v>589</v>
      </c>
      <c r="D377">
        <v>0</v>
      </c>
      <c r="E377">
        <v>0</v>
      </c>
      <c r="F377">
        <v>0</v>
      </c>
      <c r="G377">
        <v>0</v>
      </c>
      <c r="H377">
        <v>0</v>
      </c>
    </row>
    <row r="378" spans="1:8" x14ac:dyDescent="0.2">
      <c r="A378">
        <v>952</v>
      </c>
      <c r="B378">
        <v>35705</v>
      </c>
      <c r="C378" t="s">
        <v>552</v>
      </c>
      <c r="D378">
        <v>0</v>
      </c>
      <c r="E378">
        <v>680.87</v>
      </c>
      <c r="F378">
        <v>750</v>
      </c>
      <c r="G378">
        <v>392.4</v>
      </c>
      <c r="H378">
        <v>392.4</v>
      </c>
    </row>
    <row r="379" spans="1:8" x14ac:dyDescent="0.2">
      <c r="A379">
        <v>952</v>
      </c>
      <c r="B379">
        <v>35710</v>
      </c>
      <c r="C379" t="s">
        <v>448</v>
      </c>
      <c r="D379">
        <v>981.83</v>
      </c>
      <c r="E379">
        <v>7931.59</v>
      </c>
      <c r="F379">
        <v>3500</v>
      </c>
      <c r="G379">
        <v>3062.04</v>
      </c>
      <c r="H379">
        <v>3062.04</v>
      </c>
    </row>
    <row r="380" spans="1:8" x14ac:dyDescent="0.2">
      <c r="A380">
        <v>952</v>
      </c>
      <c r="B380">
        <v>35715</v>
      </c>
      <c r="C380" t="s">
        <v>58</v>
      </c>
      <c r="D380">
        <v>0</v>
      </c>
      <c r="E380">
        <v>0</v>
      </c>
      <c r="F380">
        <v>0</v>
      </c>
      <c r="G380">
        <v>0</v>
      </c>
      <c r="H380">
        <v>0</v>
      </c>
    </row>
    <row r="381" spans="1:8" x14ac:dyDescent="0.2">
      <c r="A381">
        <v>952</v>
      </c>
      <c r="B381">
        <v>35720</v>
      </c>
      <c r="C381" t="s">
        <v>510</v>
      </c>
      <c r="D381">
        <v>251.53</v>
      </c>
      <c r="E381">
        <v>1931.4</v>
      </c>
      <c r="F381">
        <v>1800</v>
      </c>
      <c r="G381">
        <v>1531.1</v>
      </c>
      <c r="H381">
        <v>1531.1</v>
      </c>
    </row>
    <row r="382" spans="1:8" x14ac:dyDescent="0.2">
      <c r="A382">
        <v>952</v>
      </c>
      <c r="B382">
        <v>35800</v>
      </c>
      <c r="C382" t="s">
        <v>79</v>
      </c>
      <c r="D382">
        <v>3391.3</v>
      </c>
      <c r="E382">
        <v>24984.77</v>
      </c>
      <c r="F382">
        <v>27500</v>
      </c>
      <c r="G382">
        <v>28734.52</v>
      </c>
      <c r="H382">
        <v>28734.52</v>
      </c>
    </row>
    <row r="383" spans="1:8" x14ac:dyDescent="0.2">
      <c r="A383">
        <v>952</v>
      </c>
      <c r="B383">
        <v>35801</v>
      </c>
      <c r="C383" t="s">
        <v>80</v>
      </c>
      <c r="D383">
        <v>0</v>
      </c>
      <c r="E383">
        <v>8885.27</v>
      </c>
      <c r="F383">
        <v>10365</v>
      </c>
      <c r="G383">
        <v>5058.38</v>
      </c>
      <c r="H383">
        <v>5058.38</v>
      </c>
    </row>
    <row r="384" spans="1:8" x14ac:dyDescent="0.2">
      <c r="A384">
        <v>952</v>
      </c>
      <c r="B384">
        <v>35805</v>
      </c>
      <c r="C384" t="s">
        <v>634</v>
      </c>
      <c r="D384">
        <v>0</v>
      </c>
      <c r="E384">
        <v>360</v>
      </c>
      <c r="F384">
        <v>360</v>
      </c>
      <c r="G384">
        <v>313.04000000000002</v>
      </c>
      <c r="H384">
        <v>313.04000000000002</v>
      </c>
    </row>
    <row r="385" spans="1:8" x14ac:dyDescent="0.2">
      <c r="A385">
        <v>952</v>
      </c>
      <c r="B385">
        <v>35810</v>
      </c>
      <c r="C385" t="s">
        <v>81</v>
      </c>
      <c r="D385">
        <v>574.38</v>
      </c>
      <c r="E385">
        <v>1088.71</v>
      </c>
      <c r="F385">
        <v>850</v>
      </c>
      <c r="G385">
        <v>425.95</v>
      </c>
      <c r="H385">
        <v>425.95</v>
      </c>
    </row>
    <row r="386" spans="1:8" x14ac:dyDescent="0.2">
      <c r="A386">
        <v>952</v>
      </c>
      <c r="B386">
        <v>35830</v>
      </c>
      <c r="C386" t="s">
        <v>82</v>
      </c>
      <c r="D386">
        <v>0</v>
      </c>
      <c r="E386">
        <v>69.52</v>
      </c>
      <c r="F386">
        <v>1000</v>
      </c>
      <c r="G386">
        <v>500</v>
      </c>
      <c r="H386">
        <v>500</v>
      </c>
    </row>
    <row r="387" spans="1:8" x14ac:dyDescent="0.2">
      <c r="A387">
        <v>952</v>
      </c>
      <c r="B387">
        <v>35840</v>
      </c>
      <c r="C387" t="s">
        <v>83</v>
      </c>
      <c r="D387">
        <v>0</v>
      </c>
      <c r="E387">
        <v>513.94000000000005</v>
      </c>
      <c r="F387">
        <v>500</v>
      </c>
      <c r="G387">
        <v>158.93</v>
      </c>
      <c r="H387">
        <v>158.93</v>
      </c>
    </row>
    <row r="388" spans="1:8" x14ac:dyDescent="0.2">
      <c r="A388">
        <v>952</v>
      </c>
      <c r="B388">
        <v>35850</v>
      </c>
      <c r="C388" t="s">
        <v>635</v>
      </c>
      <c r="D388">
        <v>0</v>
      </c>
      <c r="E388">
        <v>0</v>
      </c>
      <c r="F388">
        <v>0</v>
      </c>
      <c r="G388">
        <v>0</v>
      </c>
      <c r="H388">
        <v>0</v>
      </c>
    </row>
    <row r="389" spans="1:8" x14ac:dyDescent="0.2">
      <c r="A389">
        <v>952</v>
      </c>
      <c r="B389">
        <v>35855</v>
      </c>
      <c r="C389" t="s">
        <v>485</v>
      </c>
      <c r="D389">
        <v>0</v>
      </c>
      <c r="E389">
        <v>51</v>
      </c>
      <c r="F389">
        <v>150</v>
      </c>
      <c r="G389">
        <v>52.65</v>
      </c>
      <c r="H389">
        <v>52.65</v>
      </c>
    </row>
    <row r="390" spans="1:8" x14ac:dyDescent="0.2">
      <c r="A390">
        <v>952</v>
      </c>
      <c r="B390">
        <v>35860</v>
      </c>
      <c r="C390" t="s">
        <v>492</v>
      </c>
      <c r="D390">
        <v>0</v>
      </c>
      <c r="E390">
        <v>5.55</v>
      </c>
      <c r="F390">
        <v>50</v>
      </c>
      <c r="G390">
        <v>83.53</v>
      </c>
      <c r="H390">
        <v>83.53</v>
      </c>
    </row>
    <row r="391" spans="1:8" x14ac:dyDescent="0.2">
      <c r="A391">
        <v>952</v>
      </c>
      <c r="B391">
        <v>35865</v>
      </c>
      <c r="C391" t="s">
        <v>636</v>
      </c>
      <c r="D391">
        <v>0</v>
      </c>
      <c r="E391">
        <v>30.61</v>
      </c>
      <c r="F391">
        <v>100</v>
      </c>
      <c r="G391">
        <v>2.61</v>
      </c>
      <c r="H391">
        <v>2.61</v>
      </c>
    </row>
    <row r="392" spans="1:8" x14ac:dyDescent="0.2">
      <c r="A392">
        <v>952</v>
      </c>
      <c r="B392">
        <v>35870</v>
      </c>
      <c r="C392" t="s">
        <v>637</v>
      </c>
      <c r="D392">
        <v>0</v>
      </c>
      <c r="E392">
        <v>0</v>
      </c>
      <c r="F392">
        <v>0</v>
      </c>
      <c r="G392">
        <v>0</v>
      </c>
      <c r="H392">
        <v>0</v>
      </c>
    </row>
    <row r="393" spans="1:8" x14ac:dyDescent="0.2">
      <c r="A393">
        <v>952</v>
      </c>
      <c r="B393">
        <v>35875</v>
      </c>
      <c r="C393" t="s">
        <v>638</v>
      </c>
      <c r="D393">
        <v>0</v>
      </c>
      <c r="E393">
        <v>195.59</v>
      </c>
      <c r="F393">
        <v>200</v>
      </c>
      <c r="G393">
        <v>165.07</v>
      </c>
      <c r="H393">
        <v>165.07</v>
      </c>
    </row>
    <row r="394" spans="1:8" x14ac:dyDescent="0.2">
      <c r="A394">
        <v>952</v>
      </c>
      <c r="B394">
        <v>35900</v>
      </c>
      <c r="C394" t="s">
        <v>639</v>
      </c>
      <c r="D394">
        <v>3227.25</v>
      </c>
      <c r="E394">
        <v>28965.09</v>
      </c>
      <c r="F394">
        <v>29670</v>
      </c>
      <c r="G394">
        <v>28747.57</v>
      </c>
      <c r="H394">
        <v>28747.57</v>
      </c>
    </row>
    <row r="395" spans="1:8" x14ac:dyDescent="0.2">
      <c r="A395">
        <v>952</v>
      </c>
      <c r="B395">
        <v>35910</v>
      </c>
      <c r="C395" t="s">
        <v>640</v>
      </c>
      <c r="D395">
        <v>40.31</v>
      </c>
      <c r="E395">
        <v>509.28</v>
      </c>
      <c r="F395">
        <v>650</v>
      </c>
      <c r="G395">
        <v>567.12</v>
      </c>
      <c r="H395">
        <v>567.12</v>
      </c>
    </row>
    <row r="396" spans="1:8" x14ac:dyDescent="0.2">
      <c r="A396">
        <v>952</v>
      </c>
      <c r="B396">
        <v>35920</v>
      </c>
      <c r="C396" t="s">
        <v>641</v>
      </c>
      <c r="D396">
        <v>0</v>
      </c>
      <c r="E396">
        <v>927.4</v>
      </c>
      <c r="F396">
        <v>700</v>
      </c>
      <c r="G396">
        <v>394.5</v>
      </c>
      <c r="H396">
        <v>394.5</v>
      </c>
    </row>
    <row r="397" spans="1:8" x14ac:dyDescent="0.2">
      <c r="A397">
        <v>952</v>
      </c>
      <c r="B397">
        <v>35930</v>
      </c>
      <c r="C397" t="s">
        <v>642</v>
      </c>
      <c r="D397">
        <v>17.39</v>
      </c>
      <c r="E397">
        <v>285.44</v>
      </c>
      <c r="F397">
        <v>250</v>
      </c>
      <c r="G397">
        <v>661.97</v>
      </c>
      <c r="H397">
        <v>661.97</v>
      </c>
    </row>
    <row r="398" spans="1:8" x14ac:dyDescent="0.2">
      <c r="A398">
        <v>952</v>
      </c>
      <c r="B398">
        <v>35940</v>
      </c>
      <c r="C398" t="s">
        <v>643</v>
      </c>
      <c r="D398">
        <v>168.33</v>
      </c>
      <c r="E398">
        <v>2255.1</v>
      </c>
      <c r="F398">
        <v>4000</v>
      </c>
      <c r="G398">
        <v>1167.92</v>
      </c>
      <c r="H398">
        <v>1167.92</v>
      </c>
    </row>
    <row r="399" spans="1:8" x14ac:dyDescent="0.2">
      <c r="A399">
        <v>952</v>
      </c>
      <c r="B399">
        <v>35960</v>
      </c>
      <c r="C399" t="s">
        <v>644</v>
      </c>
      <c r="D399">
        <v>0</v>
      </c>
      <c r="E399">
        <v>76.73</v>
      </c>
      <c r="F399">
        <v>100</v>
      </c>
      <c r="G399">
        <v>0</v>
      </c>
      <c r="H399">
        <v>0</v>
      </c>
    </row>
    <row r="400" spans="1:8" x14ac:dyDescent="0.2">
      <c r="A400">
        <v>952</v>
      </c>
      <c r="B400">
        <v>35970</v>
      </c>
      <c r="C400" t="s">
        <v>645</v>
      </c>
      <c r="D400">
        <v>0</v>
      </c>
      <c r="E400">
        <v>432.12</v>
      </c>
      <c r="F400">
        <v>1000</v>
      </c>
      <c r="G400">
        <v>105</v>
      </c>
      <c r="H400">
        <v>105</v>
      </c>
    </row>
    <row r="401" spans="1:8" x14ac:dyDescent="0.2">
      <c r="A401">
        <v>952</v>
      </c>
      <c r="B401">
        <v>35980</v>
      </c>
      <c r="C401" t="s">
        <v>646</v>
      </c>
      <c r="D401">
        <v>-362.29</v>
      </c>
      <c r="E401">
        <v>5066.97</v>
      </c>
      <c r="F401">
        <v>10000</v>
      </c>
      <c r="G401">
        <v>7415.84</v>
      </c>
      <c r="H401">
        <v>7415.84</v>
      </c>
    </row>
    <row r="402" spans="1:8" x14ac:dyDescent="0.2">
      <c r="A402">
        <v>952</v>
      </c>
      <c r="B402">
        <v>37000</v>
      </c>
      <c r="C402" t="s">
        <v>647</v>
      </c>
      <c r="D402">
        <v>53.63</v>
      </c>
      <c r="E402">
        <v>142.96</v>
      </c>
      <c r="F402">
        <v>850</v>
      </c>
      <c r="G402">
        <v>188.32</v>
      </c>
      <c r="H402">
        <v>188.32</v>
      </c>
    </row>
    <row r="403" spans="1:8" x14ac:dyDescent="0.2">
      <c r="A403">
        <v>952</v>
      </c>
      <c r="B403">
        <v>37010</v>
      </c>
      <c r="C403" t="s">
        <v>881</v>
      </c>
      <c r="D403">
        <v>1427.02</v>
      </c>
      <c r="E403">
        <v>19338.36</v>
      </c>
      <c r="F403">
        <v>23500</v>
      </c>
      <c r="G403">
        <v>17408.93</v>
      </c>
      <c r="H403">
        <v>17408.93</v>
      </c>
    </row>
    <row r="404" spans="1:8" x14ac:dyDescent="0.2">
      <c r="A404">
        <v>952</v>
      </c>
      <c r="B404">
        <v>37030</v>
      </c>
      <c r="C404" t="s">
        <v>563</v>
      </c>
      <c r="D404">
        <v>0</v>
      </c>
      <c r="E404">
        <v>0</v>
      </c>
      <c r="F404">
        <v>0</v>
      </c>
      <c r="G404">
        <v>0</v>
      </c>
      <c r="H404">
        <v>0</v>
      </c>
    </row>
    <row r="405" spans="1:8" x14ac:dyDescent="0.2">
      <c r="A405">
        <v>952</v>
      </c>
      <c r="B405">
        <v>37040</v>
      </c>
      <c r="C405" t="s">
        <v>648</v>
      </c>
      <c r="D405">
        <v>4028</v>
      </c>
      <c r="E405">
        <v>43506.67</v>
      </c>
      <c r="F405">
        <v>36874</v>
      </c>
      <c r="G405">
        <v>37719.17</v>
      </c>
      <c r="H405">
        <v>37719.17</v>
      </c>
    </row>
    <row r="406" spans="1:8" x14ac:dyDescent="0.2">
      <c r="A406">
        <v>952</v>
      </c>
      <c r="B406">
        <v>37041</v>
      </c>
      <c r="C406" t="s">
        <v>649</v>
      </c>
      <c r="D406">
        <v>1135.21</v>
      </c>
      <c r="E406">
        <v>1135.21</v>
      </c>
      <c r="F406">
        <v>0</v>
      </c>
      <c r="G406">
        <v>391.8</v>
      </c>
      <c r="H406">
        <v>391.8</v>
      </c>
    </row>
    <row r="407" spans="1:8" x14ac:dyDescent="0.2">
      <c r="A407">
        <v>952</v>
      </c>
      <c r="B407">
        <v>37050</v>
      </c>
      <c r="C407" t="s">
        <v>650</v>
      </c>
      <c r="D407">
        <v>5355</v>
      </c>
      <c r="E407">
        <v>23753.7</v>
      </c>
      <c r="F407">
        <v>27920</v>
      </c>
      <c r="G407">
        <v>23895.24</v>
      </c>
      <c r="H407">
        <v>23895.24</v>
      </c>
    </row>
    <row r="408" spans="1:8" x14ac:dyDescent="0.2">
      <c r="A408">
        <v>952</v>
      </c>
      <c r="B408">
        <v>37060</v>
      </c>
      <c r="C408" t="s">
        <v>651</v>
      </c>
      <c r="D408">
        <v>2650</v>
      </c>
      <c r="E408">
        <v>16430</v>
      </c>
      <c r="F408">
        <v>19500</v>
      </c>
      <c r="G408">
        <v>18640</v>
      </c>
      <c r="H408">
        <v>18640</v>
      </c>
    </row>
    <row r="409" spans="1:8" x14ac:dyDescent="0.2">
      <c r="A409">
        <v>952</v>
      </c>
      <c r="B409">
        <v>37070</v>
      </c>
      <c r="C409" t="s">
        <v>883</v>
      </c>
      <c r="D409">
        <v>2047.5</v>
      </c>
      <c r="E409">
        <v>10066.52</v>
      </c>
      <c r="F409">
        <v>15000</v>
      </c>
      <c r="G409">
        <v>13225</v>
      </c>
      <c r="H409">
        <v>13225</v>
      </c>
    </row>
    <row r="410" spans="1:8" x14ac:dyDescent="0.2">
      <c r="A410">
        <v>952</v>
      </c>
      <c r="B410">
        <v>37080</v>
      </c>
      <c r="C410" t="s">
        <v>652</v>
      </c>
      <c r="D410">
        <v>487.5</v>
      </c>
      <c r="E410">
        <v>13695.5</v>
      </c>
      <c r="F410">
        <v>16500</v>
      </c>
      <c r="G410">
        <v>12207.01</v>
      </c>
      <c r="H410">
        <v>12207.01</v>
      </c>
    </row>
    <row r="411" spans="1:8" x14ac:dyDescent="0.2">
      <c r="A411">
        <v>952</v>
      </c>
      <c r="B411">
        <v>37085</v>
      </c>
      <c r="C411" t="s">
        <v>653</v>
      </c>
      <c r="D411">
        <v>0</v>
      </c>
      <c r="E411">
        <v>0</v>
      </c>
      <c r="F411">
        <v>0</v>
      </c>
      <c r="G411">
        <v>0</v>
      </c>
      <c r="H411">
        <v>0</v>
      </c>
    </row>
    <row r="412" spans="1:8" x14ac:dyDescent="0.2">
      <c r="A412">
        <v>952</v>
      </c>
      <c r="B412">
        <v>37090</v>
      </c>
      <c r="C412" t="s">
        <v>654</v>
      </c>
      <c r="D412">
        <v>1050</v>
      </c>
      <c r="E412">
        <v>8438.9</v>
      </c>
      <c r="F412">
        <v>8000</v>
      </c>
      <c r="G412">
        <v>8199.1299999999992</v>
      </c>
      <c r="H412">
        <v>8199.1299999999992</v>
      </c>
    </row>
    <row r="413" spans="1:8" x14ac:dyDescent="0.2">
      <c r="A413">
        <v>952</v>
      </c>
      <c r="B413">
        <v>37130</v>
      </c>
      <c r="C413" t="s">
        <v>655</v>
      </c>
      <c r="D413">
        <v>357.52</v>
      </c>
      <c r="E413">
        <v>13669.53</v>
      </c>
      <c r="F413">
        <v>16500</v>
      </c>
      <c r="G413">
        <v>12012</v>
      </c>
      <c r="H413">
        <v>12012</v>
      </c>
    </row>
    <row r="414" spans="1:8" x14ac:dyDescent="0.2">
      <c r="A414">
        <v>952</v>
      </c>
      <c r="B414">
        <v>37140</v>
      </c>
      <c r="C414" t="s">
        <v>656</v>
      </c>
      <c r="D414">
        <v>97.5</v>
      </c>
      <c r="E414">
        <v>13019.5</v>
      </c>
      <c r="F414">
        <v>16500</v>
      </c>
      <c r="G414">
        <v>15247.59</v>
      </c>
      <c r="H414">
        <v>15247.59</v>
      </c>
    </row>
    <row r="415" spans="1:8" x14ac:dyDescent="0.2">
      <c r="A415">
        <v>952</v>
      </c>
      <c r="B415">
        <v>37141</v>
      </c>
      <c r="C415" t="s">
        <v>527</v>
      </c>
      <c r="D415">
        <v>0</v>
      </c>
      <c r="E415">
        <v>0</v>
      </c>
      <c r="F415">
        <v>21385</v>
      </c>
      <c r="G415">
        <v>0</v>
      </c>
      <c r="H415">
        <v>0</v>
      </c>
    </row>
    <row r="416" spans="1:8" x14ac:dyDescent="0.2">
      <c r="A416">
        <v>952</v>
      </c>
      <c r="B416">
        <v>37145</v>
      </c>
      <c r="C416" t="s">
        <v>1154</v>
      </c>
      <c r="D416">
        <v>0</v>
      </c>
      <c r="E416">
        <v>0</v>
      </c>
      <c r="F416">
        <v>1000</v>
      </c>
      <c r="G416">
        <v>550</v>
      </c>
      <c r="H416">
        <v>550</v>
      </c>
    </row>
    <row r="417" spans="1:8" x14ac:dyDescent="0.2">
      <c r="A417">
        <v>952</v>
      </c>
      <c r="B417">
        <v>37160</v>
      </c>
      <c r="C417" t="s">
        <v>814</v>
      </c>
      <c r="D417">
        <v>185.05</v>
      </c>
      <c r="E417">
        <v>6973.83</v>
      </c>
      <c r="F417">
        <v>7000</v>
      </c>
      <c r="G417">
        <v>5227.95</v>
      </c>
      <c r="H417">
        <v>5227.95</v>
      </c>
    </row>
    <row r="418" spans="1:8" x14ac:dyDescent="0.2">
      <c r="A418">
        <v>952</v>
      </c>
      <c r="B418">
        <v>37180</v>
      </c>
      <c r="C418" t="s">
        <v>485</v>
      </c>
      <c r="D418">
        <v>0</v>
      </c>
      <c r="E418">
        <v>1553.15</v>
      </c>
      <c r="F418">
        <v>2500</v>
      </c>
      <c r="G418">
        <v>1753.1</v>
      </c>
      <c r="H418">
        <v>1753.1</v>
      </c>
    </row>
    <row r="419" spans="1:8" x14ac:dyDescent="0.2">
      <c r="A419">
        <v>952</v>
      </c>
      <c r="B419">
        <v>37185</v>
      </c>
      <c r="C419" t="s">
        <v>657</v>
      </c>
      <c r="D419">
        <v>83.06</v>
      </c>
      <c r="E419">
        <v>1275.8399999999999</v>
      </c>
      <c r="F419">
        <v>2200</v>
      </c>
      <c r="G419">
        <v>1605.92</v>
      </c>
      <c r="H419">
        <v>1605.92</v>
      </c>
    </row>
    <row r="420" spans="1:8" x14ac:dyDescent="0.2">
      <c r="A420">
        <v>952</v>
      </c>
      <c r="B420">
        <v>37187</v>
      </c>
      <c r="C420" t="s">
        <v>492</v>
      </c>
      <c r="D420">
        <v>0</v>
      </c>
      <c r="E420">
        <v>554.51</v>
      </c>
      <c r="F420">
        <v>750</v>
      </c>
      <c r="G420">
        <v>743.52</v>
      </c>
      <c r="H420">
        <v>743.52</v>
      </c>
    </row>
    <row r="421" spans="1:8" x14ac:dyDescent="0.2">
      <c r="A421">
        <v>952</v>
      </c>
      <c r="B421">
        <v>37190</v>
      </c>
      <c r="C421" t="s">
        <v>493</v>
      </c>
      <c r="D421">
        <v>0</v>
      </c>
      <c r="E421">
        <v>938.89</v>
      </c>
      <c r="F421">
        <v>2000</v>
      </c>
      <c r="G421">
        <v>1660.64</v>
      </c>
      <c r="H421">
        <v>1660.64</v>
      </c>
    </row>
    <row r="422" spans="1:8" x14ac:dyDescent="0.2">
      <c r="A422">
        <v>952</v>
      </c>
      <c r="B422">
        <v>37210</v>
      </c>
      <c r="C422" t="s">
        <v>551</v>
      </c>
      <c r="D422">
        <v>0</v>
      </c>
      <c r="E422">
        <v>233.93</v>
      </c>
      <c r="F422">
        <v>850</v>
      </c>
      <c r="G422">
        <v>833.79</v>
      </c>
      <c r="H422">
        <v>833.79</v>
      </c>
    </row>
    <row r="423" spans="1:8" x14ac:dyDescent="0.2">
      <c r="A423">
        <v>952</v>
      </c>
      <c r="B423">
        <v>37250</v>
      </c>
      <c r="C423" t="s">
        <v>565</v>
      </c>
      <c r="D423">
        <v>342</v>
      </c>
      <c r="E423">
        <v>567</v>
      </c>
      <c r="F423">
        <v>450</v>
      </c>
      <c r="G423">
        <v>0</v>
      </c>
      <c r="H423">
        <v>0</v>
      </c>
    </row>
    <row r="424" spans="1:8" x14ac:dyDescent="0.2">
      <c r="A424">
        <v>952</v>
      </c>
      <c r="B424">
        <v>37251</v>
      </c>
      <c r="C424" t="s">
        <v>1320</v>
      </c>
      <c r="D424">
        <v>2750</v>
      </c>
      <c r="E424">
        <v>10250</v>
      </c>
      <c r="F424">
        <v>10000</v>
      </c>
      <c r="G424">
        <v>0</v>
      </c>
      <c r="H424">
        <v>0</v>
      </c>
    </row>
    <row r="425" spans="1:8" x14ac:dyDescent="0.2">
      <c r="A425">
        <v>952</v>
      </c>
      <c r="B425">
        <v>37260</v>
      </c>
      <c r="C425" t="s">
        <v>658</v>
      </c>
      <c r="D425">
        <v>0</v>
      </c>
      <c r="E425">
        <v>0</v>
      </c>
      <c r="F425">
        <v>0</v>
      </c>
      <c r="G425">
        <v>0</v>
      </c>
      <c r="H425">
        <v>0</v>
      </c>
    </row>
    <row r="426" spans="1:8" x14ac:dyDescent="0.2">
      <c r="A426">
        <v>952</v>
      </c>
      <c r="B426">
        <v>37270</v>
      </c>
      <c r="C426" t="s">
        <v>659</v>
      </c>
      <c r="D426">
        <v>0</v>
      </c>
      <c r="E426">
        <v>0</v>
      </c>
      <c r="F426">
        <v>0</v>
      </c>
      <c r="G426">
        <v>0</v>
      </c>
      <c r="H426">
        <v>0</v>
      </c>
    </row>
    <row r="427" spans="1:8" x14ac:dyDescent="0.2">
      <c r="A427">
        <v>952</v>
      </c>
      <c r="B427">
        <v>37300</v>
      </c>
      <c r="C427" t="s">
        <v>506</v>
      </c>
      <c r="D427">
        <v>29796.34</v>
      </c>
      <c r="E427">
        <v>260493.62</v>
      </c>
      <c r="F427">
        <v>242468</v>
      </c>
      <c r="G427">
        <v>254140.95</v>
      </c>
      <c r="H427">
        <v>254140.95</v>
      </c>
    </row>
    <row r="428" spans="1:8" x14ac:dyDescent="0.2">
      <c r="A428">
        <v>952</v>
      </c>
      <c r="B428">
        <v>37305</v>
      </c>
      <c r="C428" t="s">
        <v>660</v>
      </c>
      <c r="D428">
        <v>10595.92</v>
      </c>
      <c r="E428">
        <v>57990.43</v>
      </c>
      <c r="F428">
        <v>53392</v>
      </c>
      <c r="G428">
        <v>58194.28</v>
      </c>
      <c r="H428">
        <v>58194.28</v>
      </c>
    </row>
    <row r="429" spans="1:8" x14ac:dyDescent="0.2">
      <c r="A429">
        <v>952</v>
      </c>
      <c r="B429">
        <v>37306</v>
      </c>
      <c r="C429" t="s">
        <v>225</v>
      </c>
      <c r="D429">
        <v>0</v>
      </c>
      <c r="E429">
        <v>0</v>
      </c>
      <c r="F429">
        <v>6260</v>
      </c>
      <c r="G429">
        <v>1586.74</v>
      </c>
      <c r="H429">
        <v>1586.74</v>
      </c>
    </row>
    <row r="430" spans="1:8" x14ac:dyDescent="0.2">
      <c r="A430">
        <v>952</v>
      </c>
      <c r="B430">
        <v>37315</v>
      </c>
      <c r="C430" t="s">
        <v>1035</v>
      </c>
      <c r="D430">
        <v>0</v>
      </c>
      <c r="E430">
        <v>0</v>
      </c>
      <c r="F430">
        <v>0</v>
      </c>
      <c r="G430">
        <v>0</v>
      </c>
      <c r="H430">
        <v>0</v>
      </c>
    </row>
    <row r="431" spans="1:8" x14ac:dyDescent="0.2">
      <c r="A431">
        <v>952</v>
      </c>
      <c r="B431">
        <v>37316</v>
      </c>
      <c r="C431" t="s">
        <v>1036</v>
      </c>
      <c r="D431">
        <v>0</v>
      </c>
      <c r="E431">
        <v>1147.83</v>
      </c>
      <c r="F431">
        <v>1148</v>
      </c>
      <c r="G431">
        <v>947.83</v>
      </c>
      <c r="H431">
        <v>947.83</v>
      </c>
    </row>
    <row r="432" spans="1:8" x14ac:dyDescent="0.2">
      <c r="A432">
        <v>952</v>
      </c>
      <c r="B432">
        <v>37320</v>
      </c>
      <c r="C432" t="s">
        <v>552</v>
      </c>
      <c r="D432">
        <v>0</v>
      </c>
      <c r="E432">
        <v>295.64999999999998</v>
      </c>
      <c r="F432">
        <v>2500</v>
      </c>
      <c r="G432">
        <v>2754.61</v>
      </c>
      <c r="H432">
        <v>2754.61</v>
      </c>
    </row>
    <row r="433" spans="1:8" x14ac:dyDescent="0.2">
      <c r="A433">
        <v>952</v>
      </c>
      <c r="B433">
        <v>37330</v>
      </c>
      <c r="C433" t="s">
        <v>503</v>
      </c>
      <c r="D433">
        <v>0</v>
      </c>
      <c r="E433">
        <v>0</v>
      </c>
      <c r="F433">
        <v>0</v>
      </c>
      <c r="G433">
        <v>0</v>
      </c>
      <c r="H433">
        <v>0</v>
      </c>
    </row>
    <row r="434" spans="1:8" x14ac:dyDescent="0.2">
      <c r="A434">
        <v>952</v>
      </c>
      <c r="B434">
        <v>37340</v>
      </c>
      <c r="C434" t="s">
        <v>448</v>
      </c>
      <c r="D434">
        <v>22.6</v>
      </c>
      <c r="E434">
        <v>33649.14</v>
      </c>
      <c r="F434">
        <v>30000</v>
      </c>
      <c r="G434">
        <v>33889.71</v>
      </c>
      <c r="H434">
        <v>33889.71</v>
      </c>
    </row>
    <row r="435" spans="1:8" x14ac:dyDescent="0.2">
      <c r="A435">
        <v>952</v>
      </c>
      <c r="B435">
        <v>37400</v>
      </c>
      <c r="C435" t="s">
        <v>506</v>
      </c>
      <c r="D435">
        <v>1985.29</v>
      </c>
      <c r="E435">
        <v>17500.32</v>
      </c>
      <c r="F435">
        <v>16960</v>
      </c>
      <c r="G435">
        <v>16719.900000000001</v>
      </c>
      <c r="H435">
        <v>16719.900000000001</v>
      </c>
    </row>
    <row r="436" spans="1:8" x14ac:dyDescent="0.2">
      <c r="A436">
        <v>952</v>
      </c>
      <c r="B436">
        <v>37500</v>
      </c>
      <c r="C436" t="s">
        <v>506</v>
      </c>
      <c r="D436">
        <v>1483.85</v>
      </c>
      <c r="E436">
        <v>12186.98</v>
      </c>
      <c r="F436">
        <v>14700</v>
      </c>
      <c r="G436">
        <v>11795.97</v>
      </c>
      <c r="H436">
        <v>11795.97</v>
      </c>
    </row>
    <row r="437" spans="1:8" x14ac:dyDescent="0.2">
      <c r="A437">
        <v>952</v>
      </c>
      <c r="B437">
        <v>37520</v>
      </c>
      <c r="C437" t="s">
        <v>499</v>
      </c>
      <c r="D437">
        <v>-1645.48</v>
      </c>
      <c r="E437">
        <v>16739.509999999998</v>
      </c>
      <c r="F437">
        <v>10000</v>
      </c>
      <c r="G437">
        <v>6123.4</v>
      </c>
      <c r="H437">
        <v>6123.4</v>
      </c>
    </row>
    <row r="438" spans="1:8" x14ac:dyDescent="0.2">
      <c r="A438">
        <v>952</v>
      </c>
      <c r="B438">
        <v>37530</v>
      </c>
      <c r="C438" t="s">
        <v>894</v>
      </c>
      <c r="D438">
        <v>0</v>
      </c>
      <c r="E438">
        <v>148.38999999999999</v>
      </c>
      <c r="F438">
        <v>600</v>
      </c>
      <c r="G438">
        <v>513.07000000000005</v>
      </c>
      <c r="H438">
        <v>513.07000000000005</v>
      </c>
    </row>
    <row r="439" spans="1:8" x14ac:dyDescent="0.2">
      <c r="A439">
        <v>952</v>
      </c>
      <c r="B439">
        <v>37540</v>
      </c>
      <c r="C439" t="s">
        <v>814</v>
      </c>
      <c r="D439">
        <v>0</v>
      </c>
      <c r="E439">
        <v>0</v>
      </c>
      <c r="F439">
        <v>500</v>
      </c>
      <c r="G439">
        <v>13.15</v>
      </c>
      <c r="H439">
        <v>13.15</v>
      </c>
    </row>
    <row r="440" spans="1:8" x14ac:dyDescent="0.2">
      <c r="A440">
        <v>952</v>
      </c>
      <c r="B440">
        <v>37600</v>
      </c>
      <c r="C440" t="s">
        <v>513</v>
      </c>
      <c r="D440">
        <v>0</v>
      </c>
      <c r="E440">
        <v>2775</v>
      </c>
      <c r="F440">
        <v>3700</v>
      </c>
      <c r="G440">
        <v>2128</v>
      </c>
      <c r="H440">
        <v>2128</v>
      </c>
    </row>
    <row r="441" spans="1:8" x14ac:dyDescent="0.2">
      <c r="A441">
        <v>952</v>
      </c>
      <c r="B441">
        <v>37610</v>
      </c>
      <c r="C441" t="s">
        <v>813</v>
      </c>
      <c r="D441">
        <v>0</v>
      </c>
      <c r="E441">
        <v>652.16999999999996</v>
      </c>
      <c r="F441">
        <v>750</v>
      </c>
      <c r="G441">
        <v>595.88</v>
      </c>
      <c r="H441">
        <v>595.88</v>
      </c>
    </row>
    <row r="442" spans="1:8" x14ac:dyDescent="0.2">
      <c r="A442">
        <v>952</v>
      </c>
      <c r="B442">
        <v>37620</v>
      </c>
      <c r="C442" t="s">
        <v>510</v>
      </c>
      <c r="D442">
        <v>198.5</v>
      </c>
      <c r="E442">
        <v>790.68</v>
      </c>
      <c r="F442">
        <v>500</v>
      </c>
      <c r="G442">
        <v>516.23</v>
      </c>
      <c r="H442">
        <v>516.23</v>
      </c>
    </row>
    <row r="443" spans="1:8" x14ac:dyDescent="0.2">
      <c r="A443">
        <v>952</v>
      </c>
      <c r="B443">
        <v>37630</v>
      </c>
      <c r="C443" t="s">
        <v>511</v>
      </c>
      <c r="D443">
        <v>64.38</v>
      </c>
      <c r="E443">
        <v>168.73</v>
      </c>
      <c r="F443">
        <v>450</v>
      </c>
      <c r="G443">
        <v>102.42</v>
      </c>
      <c r="H443">
        <v>102.42</v>
      </c>
    </row>
    <row r="444" spans="1:8" x14ac:dyDescent="0.2">
      <c r="A444">
        <v>952</v>
      </c>
      <c r="B444">
        <v>37640</v>
      </c>
      <c r="C444" t="s">
        <v>512</v>
      </c>
      <c r="D444">
        <v>0</v>
      </c>
      <c r="E444">
        <v>291.13</v>
      </c>
      <c r="F444">
        <v>700</v>
      </c>
      <c r="G444">
        <v>585.63</v>
      </c>
      <c r="H444">
        <v>585.63</v>
      </c>
    </row>
    <row r="445" spans="1:8" x14ac:dyDescent="0.2">
      <c r="A445">
        <v>952</v>
      </c>
      <c r="B445">
        <v>37730</v>
      </c>
      <c r="C445" t="s">
        <v>226</v>
      </c>
      <c r="D445">
        <v>1657.5</v>
      </c>
      <c r="E445">
        <v>16802.5</v>
      </c>
      <c r="F445">
        <v>22000</v>
      </c>
      <c r="G445">
        <v>17089.28</v>
      </c>
      <c r="H445">
        <v>17089.28</v>
      </c>
    </row>
    <row r="446" spans="1:8" x14ac:dyDescent="0.2">
      <c r="A446">
        <v>952</v>
      </c>
      <c r="B446">
        <v>37735</v>
      </c>
      <c r="C446" t="s">
        <v>227</v>
      </c>
      <c r="D446">
        <v>0</v>
      </c>
      <c r="E446">
        <v>-21.43</v>
      </c>
      <c r="F446">
        <v>500</v>
      </c>
      <c r="G446">
        <v>209.74</v>
      </c>
      <c r="H446">
        <v>209.74</v>
      </c>
    </row>
    <row r="447" spans="1:8" x14ac:dyDescent="0.2">
      <c r="A447">
        <v>952</v>
      </c>
      <c r="B447">
        <v>37740</v>
      </c>
      <c r="C447" t="s">
        <v>228</v>
      </c>
      <c r="D447">
        <v>0</v>
      </c>
      <c r="E447">
        <v>0</v>
      </c>
      <c r="F447">
        <v>44082</v>
      </c>
      <c r="G447">
        <v>0</v>
      </c>
      <c r="H447">
        <v>0</v>
      </c>
    </row>
    <row r="448" spans="1:8" x14ac:dyDescent="0.2">
      <c r="A448">
        <v>952</v>
      </c>
      <c r="B448">
        <v>37745</v>
      </c>
      <c r="C448" t="s">
        <v>229</v>
      </c>
      <c r="D448">
        <v>14</v>
      </c>
      <c r="E448">
        <v>654.1</v>
      </c>
      <c r="F448">
        <v>0</v>
      </c>
      <c r="G448">
        <v>10814.86</v>
      </c>
      <c r="H448">
        <v>10814.86</v>
      </c>
    </row>
    <row r="449" spans="1:8" x14ac:dyDescent="0.2">
      <c r="A449">
        <v>952</v>
      </c>
      <c r="B449">
        <v>37750</v>
      </c>
      <c r="C449" t="s">
        <v>230</v>
      </c>
      <c r="D449">
        <v>0</v>
      </c>
      <c r="E449">
        <v>0</v>
      </c>
      <c r="F449">
        <v>0</v>
      </c>
      <c r="G449">
        <v>1232.82</v>
      </c>
      <c r="H449">
        <v>1232.82</v>
      </c>
    </row>
    <row r="450" spans="1:8" x14ac:dyDescent="0.2">
      <c r="A450">
        <v>952</v>
      </c>
      <c r="B450">
        <v>37900</v>
      </c>
      <c r="C450" t="s">
        <v>506</v>
      </c>
      <c r="D450">
        <v>0</v>
      </c>
      <c r="E450">
        <v>0</v>
      </c>
      <c r="F450">
        <v>0</v>
      </c>
      <c r="G450">
        <v>0</v>
      </c>
      <c r="H450">
        <v>0</v>
      </c>
    </row>
    <row r="451" spans="1:8" x14ac:dyDescent="0.2">
      <c r="A451">
        <v>952</v>
      </c>
      <c r="B451">
        <v>37945</v>
      </c>
      <c r="C451" t="s">
        <v>1037</v>
      </c>
      <c r="D451">
        <v>0</v>
      </c>
      <c r="E451">
        <v>0</v>
      </c>
      <c r="F451">
        <v>0</v>
      </c>
      <c r="G451">
        <v>0</v>
      </c>
      <c r="H451">
        <v>0</v>
      </c>
    </row>
    <row r="452" spans="1:8" x14ac:dyDescent="0.2">
      <c r="A452">
        <v>952</v>
      </c>
      <c r="B452">
        <v>37960</v>
      </c>
      <c r="C452" t="s">
        <v>533</v>
      </c>
      <c r="D452">
        <v>0</v>
      </c>
      <c r="E452">
        <v>0</v>
      </c>
      <c r="F452">
        <v>0</v>
      </c>
      <c r="G452">
        <v>0</v>
      </c>
      <c r="H452">
        <v>0</v>
      </c>
    </row>
    <row r="453" spans="1:8" x14ac:dyDescent="0.2">
      <c r="A453">
        <v>952</v>
      </c>
      <c r="B453">
        <v>37965</v>
      </c>
      <c r="C453" t="s">
        <v>1038</v>
      </c>
      <c r="D453">
        <v>0</v>
      </c>
      <c r="E453">
        <v>0</v>
      </c>
      <c r="F453">
        <v>0</v>
      </c>
      <c r="G453">
        <v>0</v>
      </c>
      <c r="H453">
        <v>0</v>
      </c>
    </row>
    <row r="454" spans="1:8" x14ac:dyDescent="0.2">
      <c r="A454">
        <v>952</v>
      </c>
      <c r="B454">
        <v>38010</v>
      </c>
      <c r="C454" t="s">
        <v>1039</v>
      </c>
      <c r="D454">
        <v>0</v>
      </c>
      <c r="E454">
        <v>459.13</v>
      </c>
      <c r="F454">
        <v>2500</v>
      </c>
      <c r="G454">
        <v>1093.05</v>
      </c>
      <c r="H454">
        <v>1093.05</v>
      </c>
    </row>
    <row r="455" spans="1:8" x14ac:dyDescent="0.2">
      <c r="A455">
        <v>952</v>
      </c>
      <c r="B455">
        <v>38020</v>
      </c>
      <c r="C455" t="s">
        <v>1040</v>
      </c>
      <c r="D455">
        <v>2359.25</v>
      </c>
      <c r="E455">
        <v>21083.7</v>
      </c>
      <c r="F455">
        <v>15000</v>
      </c>
      <c r="G455">
        <v>4973.29</v>
      </c>
      <c r="H455">
        <v>4973.29</v>
      </c>
    </row>
    <row r="456" spans="1:8" x14ac:dyDescent="0.2">
      <c r="A456">
        <v>952</v>
      </c>
      <c r="B456">
        <v>38030</v>
      </c>
      <c r="C456" t="s">
        <v>1041</v>
      </c>
      <c r="D456">
        <v>106.33</v>
      </c>
      <c r="E456">
        <v>5354.83</v>
      </c>
      <c r="F456">
        <v>3000</v>
      </c>
      <c r="G456">
        <v>422.17</v>
      </c>
      <c r="H456">
        <v>422.17</v>
      </c>
    </row>
    <row r="457" spans="1:8" x14ac:dyDescent="0.2">
      <c r="A457">
        <v>952</v>
      </c>
      <c r="B457">
        <v>38035</v>
      </c>
      <c r="C457" t="s">
        <v>589</v>
      </c>
      <c r="D457">
        <v>0</v>
      </c>
      <c r="E457">
        <v>0</v>
      </c>
      <c r="F457">
        <v>0</v>
      </c>
      <c r="G457">
        <v>0</v>
      </c>
      <c r="H457">
        <v>0</v>
      </c>
    </row>
    <row r="458" spans="1:8" x14ac:dyDescent="0.2">
      <c r="A458">
        <v>952</v>
      </c>
      <c r="B458">
        <v>38040</v>
      </c>
      <c r="C458" t="s">
        <v>1042</v>
      </c>
      <c r="D458">
        <v>4.3499999999999996</v>
      </c>
      <c r="E458">
        <v>467.81</v>
      </c>
      <c r="F458">
        <v>0</v>
      </c>
      <c r="G458">
        <v>281.74</v>
      </c>
      <c r="H458">
        <v>281.74</v>
      </c>
    </row>
    <row r="459" spans="1:8" x14ac:dyDescent="0.2">
      <c r="A459">
        <v>952</v>
      </c>
      <c r="B459">
        <v>38050</v>
      </c>
      <c r="C459" t="s">
        <v>1043</v>
      </c>
      <c r="D459">
        <v>0</v>
      </c>
      <c r="E459">
        <v>214</v>
      </c>
      <c r="F459">
        <v>1500</v>
      </c>
      <c r="G459">
        <v>1640.65</v>
      </c>
      <c r="H459">
        <v>1640.65</v>
      </c>
    </row>
    <row r="460" spans="1:8" x14ac:dyDescent="0.2">
      <c r="A460">
        <v>952</v>
      </c>
      <c r="B460">
        <v>38070</v>
      </c>
      <c r="C460" t="s">
        <v>1044</v>
      </c>
      <c r="D460">
        <v>0</v>
      </c>
      <c r="E460">
        <v>0</v>
      </c>
      <c r="F460">
        <v>0</v>
      </c>
      <c r="G460">
        <v>0</v>
      </c>
      <c r="H460">
        <v>0</v>
      </c>
    </row>
    <row r="461" spans="1:8" x14ac:dyDescent="0.2">
      <c r="A461">
        <v>952</v>
      </c>
      <c r="B461">
        <v>38080</v>
      </c>
      <c r="C461" t="s">
        <v>1045</v>
      </c>
      <c r="D461">
        <v>195</v>
      </c>
      <c r="E461">
        <v>9769.48</v>
      </c>
      <c r="F461">
        <v>5000</v>
      </c>
      <c r="G461">
        <v>4770</v>
      </c>
      <c r="H461">
        <v>4770</v>
      </c>
    </row>
    <row r="462" spans="1:8" x14ac:dyDescent="0.2">
      <c r="A462">
        <v>952</v>
      </c>
      <c r="B462">
        <v>38090</v>
      </c>
      <c r="C462" t="s">
        <v>59</v>
      </c>
      <c r="D462">
        <v>0</v>
      </c>
      <c r="E462">
        <v>0</v>
      </c>
      <c r="F462">
        <v>0</v>
      </c>
      <c r="G462">
        <v>0</v>
      </c>
      <c r="H462">
        <v>0</v>
      </c>
    </row>
    <row r="463" spans="1:8" x14ac:dyDescent="0.2">
      <c r="A463">
        <v>952</v>
      </c>
      <c r="B463">
        <v>38095</v>
      </c>
      <c r="C463" t="s">
        <v>1155</v>
      </c>
      <c r="D463">
        <v>0</v>
      </c>
      <c r="E463">
        <v>0</v>
      </c>
      <c r="F463">
        <v>1500</v>
      </c>
      <c r="G463">
        <v>225.32</v>
      </c>
      <c r="H463">
        <v>225.32</v>
      </c>
    </row>
    <row r="464" spans="1:8" x14ac:dyDescent="0.2">
      <c r="A464">
        <v>952</v>
      </c>
      <c r="B464">
        <v>38220</v>
      </c>
      <c r="C464" t="s">
        <v>231</v>
      </c>
      <c r="D464">
        <v>69429.45</v>
      </c>
      <c r="E464">
        <v>577384.34</v>
      </c>
      <c r="F464">
        <v>686929</v>
      </c>
      <c r="G464">
        <v>505118.9</v>
      </c>
      <c r="H464">
        <v>505118.9</v>
      </c>
    </row>
    <row r="465" spans="1:8" x14ac:dyDescent="0.2">
      <c r="A465">
        <v>952</v>
      </c>
      <c r="B465">
        <v>38221</v>
      </c>
      <c r="C465" t="s">
        <v>232</v>
      </c>
      <c r="D465">
        <v>3090.34</v>
      </c>
      <c r="E465">
        <v>26663.56</v>
      </c>
      <c r="F465">
        <v>26764</v>
      </c>
      <c r="G465">
        <v>26361.17</v>
      </c>
      <c r="H465">
        <v>26361.17</v>
      </c>
    </row>
    <row r="466" spans="1:8" x14ac:dyDescent="0.2">
      <c r="A466">
        <v>952</v>
      </c>
      <c r="B466">
        <v>38222</v>
      </c>
      <c r="C466" t="s">
        <v>233</v>
      </c>
      <c r="D466">
        <v>0</v>
      </c>
      <c r="E466">
        <v>0</v>
      </c>
      <c r="F466">
        <v>0</v>
      </c>
      <c r="G466">
        <v>2538.5500000000002</v>
      </c>
      <c r="H466">
        <v>2538.5500000000002</v>
      </c>
    </row>
    <row r="467" spans="1:8" x14ac:dyDescent="0.2">
      <c r="A467">
        <v>952</v>
      </c>
      <c r="B467">
        <v>38250</v>
      </c>
      <c r="C467" t="s">
        <v>502</v>
      </c>
      <c r="D467">
        <v>0</v>
      </c>
      <c r="E467">
        <v>2000</v>
      </c>
      <c r="F467">
        <v>3468</v>
      </c>
      <c r="G467">
        <v>1478.26</v>
      </c>
      <c r="H467">
        <v>1478.26</v>
      </c>
    </row>
    <row r="468" spans="1:8" x14ac:dyDescent="0.2">
      <c r="A468">
        <v>952</v>
      </c>
      <c r="B468">
        <v>38260</v>
      </c>
      <c r="C468" t="s">
        <v>882</v>
      </c>
      <c r="D468">
        <v>8.5</v>
      </c>
      <c r="E468">
        <v>14268.18</v>
      </c>
      <c r="F468">
        <v>1500</v>
      </c>
      <c r="G468">
        <v>2513.9499999999998</v>
      </c>
      <c r="H468">
        <v>2513.9499999999998</v>
      </c>
    </row>
    <row r="469" spans="1:8" x14ac:dyDescent="0.2">
      <c r="A469">
        <v>952</v>
      </c>
      <c r="B469">
        <v>38270</v>
      </c>
      <c r="C469" t="s">
        <v>1046</v>
      </c>
      <c r="D469">
        <v>0</v>
      </c>
      <c r="E469">
        <v>1577.56</v>
      </c>
      <c r="F469">
        <v>22500</v>
      </c>
      <c r="G469">
        <v>3244.22</v>
      </c>
      <c r="H469">
        <v>3244.22</v>
      </c>
    </row>
    <row r="470" spans="1:8" x14ac:dyDescent="0.2">
      <c r="A470">
        <v>952</v>
      </c>
      <c r="B470">
        <v>38280</v>
      </c>
      <c r="C470" t="s">
        <v>1047</v>
      </c>
      <c r="D470">
        <v>0</v>
      </c>
      <c r="E470">
        <v>84.43</v>
      </c>
      <c r="F470">
        <v>300</v>
      </c>
      <c r="G470">
        <v>0</v>
      </c>
      <c r="H470">
        <v>0</v>
      </c>
    </row>
    <row r="471" spans="1:8" x14ac:dyDescent="0.2">
      <c r="A471">
        <v>952</v>
      </c>
      <c r="B471">
        <v>38300</v>
      </c>
      <c r="C471" t="s">
        <v>814</v>
      </c>
      <c r="D471">
        <v>562.71</v>
      </c>
      <c r="E471">
        <v>5626.71</v>
      </c>
      <c r="F471">
        <v>6500</v>
      </c>
      <c r="G471">
        <v>2143.9899999999998</v>
      </c>
      <c r="H471">
        <v>2143.9899999999998</v>
      </c>
    </row>
    <row r="472" spans="1:8" x14ac:dyDescent="0.2">
      <c r="A472">
        <v>952</v>
      </c>
      <c r="B472">
        <v>38307</v>
      </c>
      <c r="C472" t="s">
        <v>1048</v>
      </c>
      <c r="D472">
        <v>0</v>
      </c>
      <c r="E472">
        <v>0</v>
      </c>
      <c r="F472">
        <v>0</v>
      </c>
      <c r="G472">
        <v>0</v>
      </c>
      <c r="H472">
        <v>0</v>
      </c>
    </row>
    <row r="473" spans="1:8" x14ac:dyDescent="0.2">
      <c r="A473">
        <v>952</v>
      </c>
      <c r="B473">
        <v>38310</v>
      </c>
      <c r="C473" t="s">
        <v>485</v>
      </c>
      <c r="D473">
        <v>0</v>
      </c>
      <c r="E473">
        <v>111.95</v>
      </c>
      <c r="F473">
        <v>300</v>
      </c>
      <c r="G473">
        <v>80.7</v>
      </c>
      <c r="H473">
        <v>80.7</v>
      </c>
    </row>
    <row r="474" spans="1:8" x14ac:dyDescent="0.2">
      <c r="A474">
        <v>952</v>
      </c>
      <c r="B474">
        <v>38320</v>
      </c>
      <c r="C474" t="s">
        <v>493</v>
      </c>
      <c r="D474">
        <v>0</v>
      </c>
      <c r="E474">
        <v>27.44</v>
      </c>
      <c r="F474">
        <v>100</v>
      </c>
      <c r="G474">
        <v>81.510000000000005</v>
      </c>
      <c r="H474">
        <v>81.510000000000005</v>
      </c>
    </row>
    <row r="475" spans="1:8" x14ac:dyDescent="0.2">
      <c r="A475">
        <v>952</v>
      </c>
      <c r="B475">
        <v>38340</v>
      </c>
      <c r="C475" t="s">
        <v>492</v>
      </c>
      <c r="D475">
        <v>0</v>
      </c>
      <c r="E475">
        <v>118.48</v>
      </c>
      <c r="F475">
        <v>0</v>
      </c>
      <c r="G475">
        <v>0</v>
      </c>
      <c r="H475">
        <v>0</v>
      </c>
    </row>
    <row r="476" spans="1:8" x14ac:dyDescent="0.2">
      <c r="A476">
        <v>952</v>
      </c>
      <c r="B476">
        <v>38350</v>
      </c>
      <c r="C476" t="s">
        <v>550</v>
      </c>
      <c r="D476">
        <v>371.21</v>
      </c>
      <c r="E476">
        <v>3722.59</v>
      </c>
      <c r="F476">
        <v>2800</v>
      </c>
      <c r="G476">
        <v>2602.2199999999998</v>
      </c>
      <c r="H476">
        <v>2602.2199999999998</v>
      </c>
    </row>
    <row r="477" spans="1:8" x14ac:dyDescent="0.2">
      <c r="A477">
        <v>952</v>
      </c>
      <c r="B477">
        <v>38370</v>
      </c>
      <c r="C477" t="s">
        <v>1049</v>
      </c>
      <c r="D477">
        <v>707.52</v>
      </c>
      <c r="E477">
        <v>1818.28</v>
      </c>
      <c r="F477">
        <v>10000</v>
      </c>
      <c r="G477">
        <v>48.35</v>
      </c>
      <c r="H477">
        <v>48.35</v>
      </c>
    </row>
    <row r="478" spans="1:8" x14ac:dyDescent="0.2">
      <c r="A478">
        <v>952</v>
      </c>
      <c r="B478">
        <v>38390</v>
      </c>
      <c r="C478" t="s">
        <v>492</v>
      </c>
      <c r="D478">
        <v>0</v>
      </c>
      <c r="E478">
        <v>670.12</v>
      </c>
      <c r="F478">
        <v>1000</v>
      </c>
      <c r="G478">
        <v>270.04000000000002</v>
      </c>
      <c r="H478">
        <v>270.04000000000002</v>
      </c>
    </row>
    <row r="479" spans="1:8" x14ac:dyDescent="0.2">
      <c r="A479">
        <v>952</v>
      </c>
      <c r="B479">
        <v>38400</v>
      </c>
      <c r="C479" t="s">
        <v>499</v>
      </c>
      <c r="D479">
        <v>-6671.53</v>
      </c>
      <c r="E479">
        <v>40576.82</v>
      </c>
      <c r="F479">
        <v>40000</v>
      </c>
      <c r="G479">
        <v>19635.91</v>
      </c>
      <c r="H479">
        <v>19635.91</v>
      </c>
    </row>
    <row r="480" spans="1:8" x14ac:dyDescent="0.2">
      <c r="A480">
        <v>952</v>
      </c>
      <c r="B480">
        <v>38410</v>
      </c>
      <c r="C480" t="s">
        <v>814</v>
      </c>
      <c r="D480">
        <v>0</v>
      </c>
      <c r="E480">
        <v>556.62</v>
      </c>
      <c r="F480">
        <v>750</v>
      </c>
      <c r="G480">
        <v>387.83</v>
      </c>
      <c r="H480">
        <v>387.83</v>
      </c>
    </row>
    <row r="481" spans="1:8" x14ac:dyDescent="0.2">
      <c r="A481">
        <v>952</v>
      </c>
      <c r="B481">
        <v>38420</v>
      </c>
      <c r="C481" t="s">
        <v>894</v>
      </c>
      <c r="D481">
        <v>175.65</v>
      </c>
      <c r="E481">
        <v>1353.18</v>
      </c>
      <c r="F481">
        <v>2000</v>
      </c>
      <c r="G481">
        <v>937.21</v>
      </c>
      <c r="H481">
        <v>937.21</v>
      </c>
    </row>
    <row r="482" spans="1:8" x14ac:dyDescent="0.2">
      <c r="A482">
        <v>952</v>
      </c>
      <c r="B482">
        <v>38500</v>
      </c>
      <c r="C482" t="s">
        <v>506</v>
      </c>
      <c r="D482">
        <v>6740.41</v>
      </c>
      <c r="E482">
        <v>50070.97</v>
      </c>
      <c r="F482">
        <v>52554</v>
      </c>
      <c r="G482">
        <v>48368.58</v>
      </c>
      <c r="H482">
        <v>48368.58</v>
      </c>
    </row>
    <row r="483" spans="1:8" x14ac:dyDescent="0.2">
      <c r="A483">
        <v>952</v>
      </c>
      <c r="B483">
        <v>38520</v>
      </c>
      <c r="C483" t="s">
        <v>502</v>
      </c>
      <c r="D483">
        <v>0</v>
      </c>
      <c r="E483">
        <v>0</v>
      </c>
      <c r="F483">
        <v>0</v>
      </c>
      <c r="G483">
        <v>0</v>
      </c>
      <c r="H483">
        <v>0</v>
      </c>
    </row>
    <row r="484" spans="1:8" x14ac:dyDescent="0.2">
      <c r="A484">
        <v>952</v>
      </c>
      <c r="B484">
        <v>38600</v>
      </c>
      <c r="C484" t="s">
        <v>513</v>
      </c>
      <c r="D484">
        <v>0</v>
      </c>
      <c r="E484">
        <v>4846.5</v>
      </c>
      <c r="F484">
        <v>0</v>
      </c>
      <c r="G484">
        <v>10636</v>
      </c>
      <c r="H484">
        <v>10636</v>
      </c>
    </row>
    <row r="485" spans="1:8" x14ac:dyDescent="0.2">
      <c r="A485">
        <v>952</v>
      </c>
      <c r="B485">
        <v>38610</v>
      </c>
      <c r="C485" t="s">
        <v>514</v>
      </c>
      <c r="D485">
        <v>0</v>
      </c>
      <c r="E485">
        <v>652.16999999999996</v>
      </c>
      <c r="F485">
        <v>950</v>
      </c>
      <c r="G485">
        <v>1191.76</v>
      </c>
      <c r="H485">
        <v>1191.76</v>
      </c>
    </row>
    <row r="486" spans="1:8" x14ac:dyDescent="0.2">
      <c r="A486">
        <v>952</v>
      </c>
      <c r="B486">
        <v>38620</v>
      </c>
      <c r="C486" t="s">
        <v>510</v>
      </c>
      <c r="D486">
        <v>155.84</v>
      </c>
      <c r="E486">
        <v>806.99</v>
      </c>
      <c r="F486">
        <v>2500</v>
      </c>
      <c r="G486">
        <v>499.64</v>
      </c>
      <c r="H486">
        <v>499.64</v>
      </c>
    </row>
    <row r="487" spans="1:8" x14ac:dyDescent="0.2">
      <c r="A487">
        <v>952</v>
      </c>
      <c r="B487">
        <v>38630</v>
      </c>
      <c r="C487" t="s">
        <v>511</v>
      </c>
      <c r="D487">
        <v>85.84</v>
      </c>
      <c r="E487">
        <v>242.14</v>
      </c>
      <c r="F487">
        <v>500</v>
      </c>
      <c r="G487">
        <v>122.48</v>
      </c>
      <c r="H487">
        <v>122.48</v>
      </c>
    </row>
    <row r="488" spans="1:8" x14ac:dyDescent="0.2">
      <c r="A488">
        <v>952</v>
      </c>
      <c r="B488">
        <v>38640</v>
      </c>
      <c r="C488" t="s">
        <v>512</v>
      </c>
      <c r="D488">
        <v>0</v>
      </c>
      <c r="E488">
        <v>1576.13</v>
      </c>
      <c r="F488">
        <v>1000</v>
      </c>
      <c r="G488">
        <v>572.20000000000005</v>
      </c>
      <c r="H488">
        <v>572.20000000000005</v>
      </c>
    </row>
    <row r="489" spans="1:8" x14ac:dyDescent="0.2">
      <c r="A489">
        <v>952</v>
      </c>
      <c r="B489">
        <v>38700</v>
      </c>
      <c r="C489" t="s">
        <v>506</v>
      </c>
      <c r="D489">
        <v>0</v>
      </c>
      <c r="E489">
        <v>0</v>
      </c>
      <c r="F489">
        <v>0</v>
      </c>
      <c r="G489">
        <v>0</v>
      </c>
      <c r="H489">
        <v>0</v>
      </c>
    </row>
    <row r="490" spans="1:8" x14ac:dyDescent="0.2">
      <c r="A490">
        <v>952</v>
      </c>
      <c r="B490">
        <v>38760</v>
      </c>
      <c r="C490" t="s">
        <v>1050</v>
      </c>
      <c r="D490">
        <v>0</v>
      </c>
      <c r="E490">
        <v>0</v>
      </c>
      <c r="F490">
        <v>0</v>
      </c>
      <c r="G490">
        <v>0</v>
      </c>
      <c r="H490">
        <v>0</v>
      </c>
    </row>
    <row r="491" spans="1:8" x14ac:dyDescent="0.2">
      <c r="A491">
        <v>952</v>
      </c>
      <c r="B491">
        <v>38790</v>
      </c>
      <c r="C491" t="s">
        <v>1037</v>
      </c>
      <c r="D491">
        <v>0</v>
      </c>
      <c r="E491">
        <v>0</v>
      </c>
      <c r="F491">
        <v>0</v>
      </c>
      <c r="G491">
        <v>0</v>
      </c>
      <c r="H491">
        <v>0</v>
      </c>
    </row>
    <row r="492" spans="1:8" x14ac:dyDescent="0.2">
      <c r="A492">
        <v>952</v>
      </c>
      <c r="B492">
        <v>38810</v>
      </c>
      <c r="C492" t="s">
        <v>1051</v>
      </c>
      <c r="D492">
        <v>0</v>
      </c>
      <c r="E492">
        <v>0</v>
      </c>
      <c r="F492">
        <v>0</v>
      </c>
      <c r="G492">
        <v>0</v>
      </c>
      <c r="H492">
        <v>0</v>
      </c>
    </row>
    <row r="493" spans="1:8" x14ac:dyDescent="0.2">
      <c r="A493">
        <v>952</v>
      </c>
      <c r="B493">
        <v>38815</v>
      </c>
      <c r="C493" t="s">
        <v>1052</v>
      </c>
      <c r="D493">
        <v>0</v>
      </c>
      <c r="E493">
        <v>0</v>
      </c>
      <c r="F493">
        <v>0</v>
      </c>
      <c r="G493">
        <v>0</v>
      </c>
      <c r="H493">
        <v>0</v>
      </c>
    </row>
    <row r="494" spans="1:8" x14ac:dyDescent="0.2">
      <c r="A494">
        <v>952</v>
      </c>
      <c r="B494">
        <v>38820</v>
      </c>
      <c r="C494" t="s">
        <v>533</v>
      </c>
      <c r="D494">
        <v>0</v>
      </c>
      <c r="E494">
        <v>0</v>
      </c>
      <c r="F494">
        <v>0</v>
      </c>
      <c r="G494">
        <v>0</v>
      </c>
      <c r="H494">
        <v>0</v>
      </c>
    </row>
    <row r="495" spans="1:8" x14ac:dyDescent="0.2">
      <c r="A495">
        <v>952</v>
      </c>
      <c r="B495">
        <v>38830</v>
      </c>
      <c r="C495" t="s">
        <v>1038</v>
      </c>
      <c r="D495">
        <v>0</v>
      </c>
      <c r="E495">
        <v>0</v>
      </c>
      <c r="F495">
        <v>0</v>
      </c>
      <c r="G495">
        <v>0</v>
      </c>
      <c r="H495">
        <v>0</v>
      </c>
    </row>
    <row r="496" spans="1:8" x14ac:dyDescent="0.2">
      <c r="A496">
        <v>952</v>
      </c>
      <c r="B496">
        <v>38922</v>
      </c>
      <c r="C496" t="s">
        <v>1053</v>
      </c>
      <c r="D496">
        <v>200</v>
      </c>
      <c r="E496">
        <v>620</v>
      </c>
      <c r="F496">
        <v>0</v>
      </c>
      <c r="G496">
        <v>1396.8</v>
      </c>
      <c r="H496">
        <v>1396.8</v>
      </c>
    </row>
    <row r="497" spans="1:8" x14ac:dyDescent="0.2">
      <c r="A497">
        <v>952</v>
      </c>
      <c r="B497">
        <v>38928</v>
      </c>
      <c r="C497" t="s">
        <v>1054</v>
      </c>
      <c r="D497">
        <v>0</v>
      </c>
      <c r="E497">
        <v>0</v>
      </c>
      <c r="F497">
        <v>0</v>
      </c>
      <c r="G497">
        <v>0</v>
      </c>
      <c r="H497">
        <v>0</v>
      </c>
    </row>
    <row r="498" spans="1:8" x14ac:dyDescent="0.2">
      <c r="A498">
        <v>952</v>
      </c>
      <c r="B498">
        <v>38929</v>
      </c>
      <c r="C498" t="s">
        <v>1054</v>
      </c>
      <c r="D498">
        <v>627.59</v>
      </c>
      <c r="E498">
        <v>15757.29</v>
      </c>
      <c r="F498">
        <v>54950</v>
      </c>
      <c r="G498">
        <v>8397.67</v>
      </c>
      <c r="H498">
        <v>8397.67</v>
      </c>
    </row>
    <row r="499" spans="1:8" x14ac:dyDescent="0.2">
      <c r="A499">
        <v>952</v>
      </c>
      <c r="B499">
        <v>38930</v>
      </c>
      <c r="C499" t="s">
        <v>1055</v>
      </c>
      <c r="D499">
        <v>17999.560000000001</v>
      </c>
      <c r="E499">
        <v>142774.87</v>
      </c>
      <c r="F499">
        <v>226774</v>
      </c>
      <c r="G499">
        <v>167917.95</v>
      </c>
      <c r="H499">
        <v>167917.95</v>
      </c>
    </row>
    <row r="500" spans="1:8" x14ac:dyDescent="0.2">
      <c r="A500">
        <v>952</v>
      </c>
      <c r="B500">
        <v>38931</v>
      </c>
      <c r="C500" t="s">
        <v>1056</v>
      </c>
      <c r="D500">
        <v>0</v>
      </c>
      <c r="E500">
        <v>956.52</v>
      </c>
      <c r="F500">
        <v>1140</v>
      </c>
      <c r="G500">
        <v>1113.04</v>
      </c>
      <c r="H500">
        <v>1113.04</v>
      </c>
    </row>
    <row r="501" spans="1:8" x14ac:dyDescent="0.2">
      <c r="A501">
        <v>952</v>
      </c>
      <c r="B501">
        <v>38932</v>
      </c>
      <c r="C501" t="s">
        <v>1046</v>
      </c>
      <c r="D501">
        <v>213.45</v>
      </c>
      <c r="E501">
        <v>2712.01</v>
      </c>
      <c r="F501">
        <v>3000</v>
      </c>
      <c r="G501">
        <v>1265.3499999999999</v>
      </c>
      <c r="H501">
        <v>1265.3499999999999</v>
      </c>
    </row>
    <row r="502" spans="1:8" x14ac:dyDescent="0.2">
      <c r="A502">
        <v>952</v>
      </c>
      <c r="B502">
        <v>38933</v>
      </c>
      <c r="C502" t="s">
        <v>1057</v>
      </c>
      <c r="D502">
        <v>2154.77</v>
      </c>
      <c r="E502">
        <v>10364.83</v>
      </c>
      <c r="F502">
        <v>17000</v>
      </c>
      <c r="G502">
        <v>12421.77</v>
      </c>
      <c r="H502">
        <v>12421.77</v>
      </c>
    </row>
    <row r="503" spans="1:8" x14ac:dyDescent="0.2">
      <c r="A503">
        <v>952</v>
      </c>
      <c r="B503">
        <v>38934</v>
      </c>
      <c r="C503" t="s">
        <v>485</v>
      </c>
      <c r="D503">
        <v>0</v>
      </c>
      <c r="E503">
        <v>89.95</v>
      </c>
      <c r="F503">
        <v>1000</v>
      </c>
      <c r="G503">
        <v>86.1</v>
      </c>
      <c r="H503">
        <v>86.1</v>
      </c>
    </row>
    <row r="504" spans="1:8" x14ac:dyDescent="0.2">
      <c r="A504">
        <v>952</v>
      </c>
      <c r="B504">
        <v>38935</v>
      </c>
      <c r="C504" t="s">
        <v>550</v>
      </c>
      <c r="D504">
        <v>140.21</v>
      </c>
      <c r="E504">
        <v>2171.4499999999998</v>
      </c>
      <c r="F504">
        <v>2500</v>
      </c>
      <c r="G504">
        <v>2329.33</v>
      </c>
      <c r="H504">
        <v>2329.33</v>
      </c>
    </row>
    <row r="505" spans="1:8" x14ac:dyDescent="0.2">
      <c r="A505">
        <v>952</v>
      </c>
      <c r="B505">
        <v>38936</v>
      </c>
      <c r="C505" t="s">
        <v>493</v>
      </c>
      <c r="D505">
        <v>0</v>
      </c>
      <c r="E505">
        <v>491.81</v>
      </c>
      <c r="F505">
        <v>1000</v>
      </c>
      <c r="G505">
        <v>595.45000000000005</v>
      </c>
      <c r="H505">
        <v>595.45000000000005</v>
      </c>
    </row>
    <row r="506" spans="1:8" x14ac:dyDescent="0.2">
      <c r="A506">
        <v>952</v>
      </c>
      <c r="B506">
        <v>38937</v>
      </c>
      <c r="C506" t="s">
        <v>492</v>
      </c>
      <c r="D506">
        <v>24.15</v>
      </c>
      <c r="E506">
        <v>1609.54</v>
      </c>
      <c r="F506">
        <v>1500</v>
      </c>
      <c r="G506">
        <v>938.61</v>
      </c>
      <c r="H506">
        <v>938.61</v>
      </c>
    </row>
    <row r="507" spans="1:8" x14ac:dyDescent="0.2">
      <c r="A507">
        <v>952</v>
      </c>
      <c r="B507">
        <v>38938</v>
      </c>
      <c r="C507" t="s">
        <v>617</v>
      </c>
      <c r="D507">
        <v>0</v>
      </c>
      <c r="E507">
        <v>1360.95</v>
      </c>
      <c r="F507">
        <v>4000</v>
      </c>
      <c r="G507">
        <v>1130.5</v>
      </c>
      <c r="H507">
        <v>1130.5</v>
      </c>
    </row>
    <row r="508" spans="1:8" x14ac:dyDescent="0.2">
      <c r="A508">
        <v>952</v>
      </c>
      <c r="B508">
        <v>38939</v>
      </c>
      <c r="C508" t="s">
        <v>1058</v>
      </c>
      <c r="D508">
        <v>565.66999999999996</v>
      </c>
      <c r="E508">
        <v>3368.96</v>
      </c>
      <c r="F508">
        <v>8000</v>
      </c>
      <c r="G508">
        <v>5774.05</v>
      </c>
      <c r="H508">
        <v>5774.05</v>
      </c>
    </row>
    <row r="509" spans="1:8" x14ac:dyDescent="0.2">
      <c r="A509">
        <v>952</v>
      </c>
      <c r="B509">
        <v>38940</v>
      </c>
      <c r="C509" t="s">
        <v>1059</v>
      </c>
      <c r="D509">
        <v>4592.88</v>
      </c>
      <c r="E509">
        <v>29629.53</v>
      </c>
      <c r="F509">
        <v>29022</v>
      </c>
      <c r="G509">
        <v>26516.78</v>
      </c>
      <c r="H509">
        <v>26516.78</v>
      </c>
    </row>
    <row r="510" spans="1:8" x14ac:dyDescent="0.2">
      <c r="A510">
        <v>952</v>
      </c>
      <c r="B510">
        <v>38945</v>
      </c>
      <c r="C510" t="s">
        <v>1060</v>
      </c>
      <c r="D510">
        <v>0</v>
      </c>
      <c r="E510">
        <v>0</v>
      </c>
      <c r="F510">
        <v>1000</v>
      </c>
      <c r="G510">
        <v>149.57</v>
      </c>
      <c r="H510">
        <v>149.57</v>
      </c>
    </row>
    <row r="511" spans="1:8" x14ac:dyDescent="0.2">
      <c r="A511">
        <v>952</v>
      </c>
      <c r="B511">
        <v>38946</v>
      </c>
      <c r="C511" t="s">
        <v>1061</v>
      </c>
      <c r="D511">
        <v>0</v>
      </c>
      <c r="E511">
        <v>0</v>
      </c>
      <c r="F511">
        <v>0</v>
      </c>
      <c r="G511">
        <v>0</v>
      </c>
      <c r="H511">
        <v>0</v>
      </c>
    </row>
    <row r="512" spans="1:8" x14ac:dyDescent="0.2">
      <c r="A512">
        <v>952</v>
      </c>
      <c r="B512">
        <v>38950</v>
      </c>
      <c r="C512" t="s">
        <v>806</v>
      </c>
      <c r="D512">
        <v>0</v>
      </c>
      <c r="E512">
        <v>0</v>
      </c>
      <c r="F512">
        <v>0</v>
      </c>
      <c r="G512">
        <v>422.73</v>
      </c>
      <c r="H512">
        <v>422.73</v>
      </c>
    </row>
    <row r="513" spans="1:8" x14ac:dyDescent="0.2">
      <c r="A513">
        <v>952</v>
      </c>
      <c r="B513">
        <v>38951</v>
      </c>
      <c r="C513" t="s">
        <v>1062</v>
      </c>
      <c r="D513">
        <v>0</v>
      </c>
      <c r="E513">
        <v>357.7</v>
      </c>
      <c r="F513">
        <v>5000</v>
      </c>
      <c r="G513">
        <v>0</v>
      </c>
      <c r="H513">
        <v>0</v>
      </c>
    </row>
    <row r="514" spans="1:8" x14ac:dyDescent="0.2">
      <c r="A514">
        <v>952</v>
      </c>
      <c r="B514">
        <v>38952</v>
      </c>
      <c r="C514" t="s">
        <v>1063</v>
      </c>
      <c r="D514">
        <v>5264.98</v>
      </c>
      <c r="E514">
        <v>20662.310000000001</v>
      </c>
      <c r="F514">
        <v>64000</v>
      </c>
      <c r="G514">
        <v>20693.02</v>
      </c>
      <c r="H514">
        <v>20693.02</v>
      </c>
    </row>
    <row r="515" spans="1:8" x14ac:dyDescent="0.2">
      <c r="A515">
        <v>952</v>
      </c>
      <c r="B515">
        <v>38953</v>
      </c>
      <c r="C515" t="s">
        <v>1064</v>
      </c>
      <c r="D515">
        <v>0</v>
      </c>
      <c r="E515">
        <v>0</v>
      </c>
      <c r="F515">
        <v>0</v>
      </c>
      <c r="G515">
        <v>0</v>
      </c>
      <c r="H515">
        <v>0</v>
      </c>
    </row>
    <row r="516" spans="1:8" x14ac:dyDescent="0.2">
      <c r="A516">
        <v>952</v>
      </c>
      <c r="B516">
        <v>38954</v>
      </c>
      <c r="C516" t="s">
        <v>1065</v>
      </c>
      <c r="D516">
        <v>3889.14</v>
      </c>
      <c r="E516">
        <v>10025.57</v>
      </c>
      <c r="F516">
        <v>24000</v>
      </c>
      <c r="G516">
        <v>11574.38</v>
      </c>
      <c r="H516">
        <v>11574.38</v>
      </c>
    </row>
    <row r="517" spans="1:8" x14ac:dyDescent="0.2">
      <c r="A517">
        <v>952</v>
      </c>
      <c r="B517">
        <v>38955</v>
      </c>
      <c r="C517" t="s">
        <v>1066</v>
      </c>
      <c r="D517">
        <v>0</v>
      </c>
      <c r="E517">
        <v>0</v>
      </c>
      <c r="F517">
        <v>0</v>
      </c>
      <c r="G517">
        <v>0</v>
      </c>
      <c r="H517">
        <v>0</v>
      </c>
    </row>
    <row r="518" spans="1:8" x14ac:dyDescent="0.2">
      <c r="A518">
        <v>952</v>
      </c>
      <c r="B518">
        <v>38956</v>
      </c>
      <c r="C518" t="s">
        <v>1067</v>
      </c>
      <c r="D518">
        <v>0</v>
      </c>
      <c r="E518">
        <v>0</v>
      </c>
      <c r="F518">
        <v>0</v>
      </c>
      <c r="G518">
        <v>0</v>
      </c>
      <c r="H518">
        <v>0</v>
      </c>
    </row>
    <row r="519" spans="1:8" x14ac:dyDescent="0.2">
      <c r="A519">
        <v>952</v>
      </c>
      <c r="B519">
        <v>38957</v>
      </c>
      <c r="C519" t="s">
        <v>1068</v>
      </c>
      <c r="D519">
        <v>0</v>
      </c>
      <c r="E519">
        <v>0</v>
      </c>
      <c r="F519">
        <v>0</v>
      </c>
      <c r="G519">
        <v>79.27</v>
      </c>
      <c r="H519">
        <v>79.27</v>
      </c>
    </row>
    <row r="520" spans="1:8" x14ac:dyDescent="0.2">
      <c r="A520">
        <v>952</v>
      </c>
      <c r="B520">
        <v>38958</v>
      </c>
      <c r="C520" t="s">
        <v>1069</v>
      </c>
      <c r="D520">
        <v>0</v>
      </c>
      <c r="E520">
        <v>4523.7299999999996</v>
      </c>
      <c r="F520">
        <v>8000</v>
      </c>
      <c r="G520">
        <v>33341.17</v>
      </c>
      <c r="H520">
        <v>33341.17</v>
      </c>
    </row>
    <row r="521" spans="1:8" x14ac:dyDescent="0.2">
      <c r="A521">
        <v>952</v>
      </c>
      <c r="B521">
        <v>38959</v>
      </c>
      <c r="C521" t="s">
        <v>1070</v>
      </c>
      <c r="D521">
        <v>19.510000000000002</v>
      </c>
      <c r="E521">
        <v>9301.48</v>
      </c>
      <c r="F521">
        <v>10000</v>
      </c>
      <c r="G521">
        <v>5378.56</v>
      </c>
      <c r="H521">
        <v>5378.56</v>
      </c>
    </row>
    <row r="522" spans="1:8" x14ac:dyDescent="0.2">
      <c r="A522">
        <v>952</v>
      </c>
      <c r="B522">
        <v>38966</v>
      </c>
      <c r="C522" t="s">
        <v>1321</v>
      </c>
      <c r="D522">
        <v>276</v>
      </c>
      <c r="E522">
        <v>6085.47</v>
      </c>
      <c r="F522">
        <v>8000</v>
      </c>
      <c r="G522">
        <v>6792.88</v>
      </c>
      <c r="H522">
        <v>6792.88</v>
      </c>
    </row>
    <row r="523" spans="1:8" x14ac:dyDescent="0.2">
      <c r="A523">
        <v>952</v>
      </c>
      <c r="B523">
        <v>38967</v>
      </c>
      <c r="C523" t="s">
        <v>1322</v>
      </c>
      <c r="D523">
        <v>0</v>
      </c>
      <c r="E523">
        <v>4029.42</v>
      </c>
      <c r="F523">
        <v>8000</v>
      </c>
      <c r="G523">
        <v>2662.69</v>
      </c>
      <c r="H523">
        <v>2662.69</v>
      </c>
    </row>
    <row r="524" spans="1:8" x14ac:dyDescent="0.2">
      <c r="A524">
        <v>952</v>
      </c>
      <c r="B524">
        <v>38968</v>
      </c>
      <c r="C524" t="s">
        <v>1071</v>
      </c>
      <c r="D524">
        <v>0</v>
      </c>
      <c r="E524">
        <v>0</v>
      </c>
      <c r="F524">
        <v>0</v>
      </c>
      <c r="G524">
        <v>0</v>
      </c>
      <c r="H524">
        <v>0</v>
      </c>
    </row>
    <row r="525" spans="1:8" x14ac:dyDescent="0.2">
      <c r="A525">
        <v>952</v>
      </c>
      <c r="B525">
        <v>38969</v>
      </c>
      <c r="C525" t="s">
        <v>1072</v>
      </c>
      <c r="D525">
        <v>0</v>
      </c>
      <c r="E525">
        <v>210</v>
      </c>
      <c r="F525">
        <v>0</v>
      </c>
      <c r="G525">
        <v>0</v>
      </c>
      <c r="H525">
        <v>0</v>
      </c>
    </row>
    <row r="526" spans="1:8" x14ac:dyDescent="0.2">
      <c r="A526">
        <v>952</v>
      </c>
      <c r="B526">
        <v>38972</v>
      </c>
      <c r="C526" t="s">
        <v>1073</v>
      </c>
      <c r="D526">
        <v>0</v>
      </c>
      <c r="E526">
        <v>0</v>
      </c>
      <c r="F526">
        <v>0</v>
      </c>
      <c r="G526">
        <v>0</v>
      </c>
      <c r="H526">
        <v>0</v>
      </c>
    </row>
    <row r="527" spans="1:8" x14ac:dyDescent="0.2">
      <c r="A527">
        <v>952</v>
      </c>
      <c r="B527">
        <v>38974</v>
      </c>
      <c r="C527" t="s">
        <v>1323</v>
      </c>
      <c r="D527">
        <v>3868.82</v>
      </c>
      <c r="E527">
        <v>10644.39</v>
      </c>
      <c r="F527">
        <v>16000</v>
      </c>
      <c r="G527">
        <v>6384.05</v>
      </c>
      <c r="H527">
        <v>6384.05</v>
      </c>
    </row>
    <row r="528" spans="1:8" x14ac:dyDescent="0.2">
      <c r="A528">
        <v>952</v>
      </c>
      <c r="B528">
        <v>38975</v>
      </c>
      <c r="C528" t="s">
        <v>84</v>
      </c>
      <c r="D528">
        <v>0</v>
      </c>
      <c r="E528">
        <v>0</v>
      </c>
      <c r="F528">
        <v>0</v>
      </c>
      <c r="G528">
        <v>0</v>
      </c>
      <c r="H528">
        <v>0</v>
      </c>
    </row>
    <row r="529" spans="1:8" x14ac:dyDescent="0.2">
      <c r="A529">
        <v>952</v>
      </c>
      <c r="B529">
        <v>38976</v>
      </c>
      <c r="C529" t="s">
        <v>1324</v>
      </c>
      <c r="D529">
        <v>4066.92</v>
      </c>
      <c r="E529">
        <v>23568.53</v>
      </c>
      <c r="F529">
        <v>24000</v>
      </c>
      <c r="G529">
        <v>0</v>
      </c>
      <c r="H529">
        <v>0</v>
      </c>
    </row>
    <row r="530" spans="1:8" x14ac:dyDescent="0.2">
      <c r="A530">
        <v>952</v>
      </c>
      <c r="B530">
        <v>38977</v>
      </c>
      <c r="C530" t="s">
        <v>1074</v>
      </c>
      <c r="D530">
        <v>0</v>
      </c>
      <c r="E530">
        <v>0</v>
      </c>
      <c r="F530">
        <v>0</v>
      </c>
      <c r="G530">
        <v>0</v>
      </c>
      <c r="H530">
        <v>0</v>
      </c>
    </row>
    <row r="531" spans="1:8" x14ac:dyDescent="0.2">
      <c r="A531">
        <v>952</v>
      </c>
      <c r="B531">
        <v>38978</v>
      </c>
      <c r="C531" t="s">
        <v>190</v>
      </c>
      <c r="D531">
        <v>7004.39</v>
      </c>
      <c r="E531">
        <v>8136.11</v>
      </c>
      <c r="F531">
        <v>8000</v>
      </c>
      <c r="G531">
        <v>0</v>
      </c>
      <c r="H531">
        <v>0</v>
      </c>
    </row>
    <row r="532" spans="1:8" x14ac:dyDescent="0.2">
      <c r="A532">
        <v>952</v>
      </c>
      <c r="B532">
        <v>38979</v>
      </c>
      <c r="C532" t="s">
        <v>1075</v>
      </c>
      <c r="D532">
        <v>0</v>
      </c>
      <c r="E532">
        <v>38.35</v>
      </c>
      <c r="F532">
        <v>0</v>
      </c>
      <c r="G532">
        <v>83.83</v>
      </c>
      <c r="H532">
        <v>83.83</v>
      </c>
    </row>
    <row r="533" spans="1:8" x14ac:dyDescent="0.2">
      <c r="A533">
        <v>952</v>
      </c>
      <c r="B533">
        <v>38980</v>
      </c>
      <c r="C533" t="s">
        <v>191</v>
      </c>
      <c r="D533">
        <v>0</v>
      </c>
      <c r="E533">
        <v>0</v>
      </c>
      <c r="F533">
        <v>0</v>
      </c>
      <c r="G533">
        <v>0</v>
      </c>
      <c r="H533">
        <v>0</v>
      </c>
    </row>
    <row r="534" spans="1:8" x14ac:dyDescent="0.2">
      <c r="A534">
        <v>952</v>
      </c>
      <c r="B534">
        <v>38987</v>
      </c>
      <c r="C534" t="s">
        <v>1076</v>
      </c>
      <c r="D534">
        <v>0</v>
      </c>
      <c r="E534">
        <v>5.22</v>
      </c>
      <c r="F534">
        <v>0</v>
      </c>
      <c r="G534">
        <v>11.3</v>
      </c>
      <c r="H534">
        <v>11.3</v>
      </c>
    </row>
    <row r="535" spans="1:8" x14ac:dyDescent="0.2">
      <c r="A535">
        <v>952</v>
      </c>
      <c r="B535">
        <v>38988</v>
      </c>
      <c r="C535" t="s">
        <v>1077</v>
      </c>
      <c r="D535">
        <v>0</v>
      </c>
      <c r="E535">
        <v>0</v>
      </c>
      <c r="F535">
        <v>0</v>
      </c>
      <c r="G535">
        <v>0</v>
      </c>
      <c r="H535">
        <v>0</v>
      </c>
    </row>
    <row r="536" spans="1:8" x14ac:dyDescent="0.2">
      <c r="A536">
        <v>952</v>
      </c>
      <c r="B536">
        <v>38989</v>
      </c>
      <c r="C536" t="s">
        <v>1078</v>
      </c>
      <c r="D536">
        <v>1305.3</v>
      </c>
      <c r="E536">
        <v>24286.25</v>
      </c>
      <c r="F536">
        <v>32000</v>
      </c>
      <c r="G536">
        <v>19165.39</v>
      </c>
      <c r="H536">
        <v>19165.39</v>
      </c>
    </row>
    <row r="537" spans="1:8" x14ac:dyDescent="0.2">
      <c r="A537">
        <v>952</v>
      </c>
      <c r="B537">
        <v>38990</v>
      </c>
      <c r="C537" t="s">
        <v>1079</v>
      </c>
      <c r="D537">
        <v>-129.44</v>
      </c>
      <c r="E537">
        <v>21593.29</v>
      </c>
      <c r="F537">
        <v>16000</v>
      </c>
      <c r="G537">
        <v>17318.509999999998</v>
      </c>
      <c r="H537">
        <v>17318.509999999998</v>
      </c>
    </row>
    <row r="538" spans="1:8" x14ac:dyDescent="0.2">
      <c r="A538">
        <v>952</v>
      </c>
      <c r="B538">
        <v>38992</v>
      </c>
      <c r="C538" t="s">
        <v>1080</v>
      </c>
      <c r="D538">
        <v>1256.26</v>
      </c>
      <c r="E538">
        <v>18785.14</v>
      </c>
      <c r="F538">
        <v>20000</v>
      </c>
      <c r="G538">
        <v>9747.1</v>
      </c>
      <c r="H538">
        <v>9747.1</v>
      </c>
    </row>
    <row r="539" spans="1:8" x14ac:dyDescent="0.2">
      <c r="A539">
        <v>952</v>
      </c>
      <c r="B539">
        <v>38993</v>
      </c>
      <c r="C539" t="s">
        <v>1081</v>
      </c>
      <c r="D539">
        <v>0</v>
      </c>
      <c r="E539">
        <v>851.53</v>
      </c>
      <c r="F539">
        <v>0</v>
      </c>
      <c r="G539">
        <v>314.88</v>
      </c>
      <c r="H539">
        <v>314.88</v>
      </c>
    </row>
    <row r="540" spans="1:8" x14ac:dyDescent="0.2">
      <c r="A540">
        <v>952</v>
      </c>
      <c r="B540">
        <v>38995</v>
      </c>
      <c r="C540" t="s">
        <v>1082</v>
      </c>
      <c r="D540">
        <v>0</v>
      </c>
      <c r="E540">
        <v>0</v>
      </c>
      <c r="F540">
        <v>0</v>
      </c>
      <c r="G540">
        <v>0</v>
      </c>
      <c r="H540">
        <v>0</v>
      </c>
    </row>
    <row r="541" spans="1:8" x14ac:dyDescent="0.2">
      <c r="A541">
        <v>952</v>
      </c>
      <c r="B541">
        <v>38997</v>
      </c>
      <c r="C541" t="s">
        <v>1083</v>
      </c>
      <c r="D541">
        <v>1010.18</v>
      </c>
      <c r="E541">
        <v>1097.1400000000001</v>
      </c>
      <c r="F541">
        <v>7000</v>
      </c>
      <c r="G541">
        <v>3915.33</v>
      </c>
      <c r="H541">
        <v>3915.33</v>
      </c>
    </row>
    <row r="542" spans="1:8" x14ac:dyDescent="0.2">
      <c r="A542">
        <v>952</v>
      </c>
      <c r="B542">
        <v>38998</v>
      </c>
      <c r="C542" t="s">
        <v>1084</v>
      </c>
      <c r="D542">
        <v>0</v>
      </c>
      <c r="E542">
        <v>0</v>
      </c>
      <c r="F542">
        <v>0</v>
      </c>
      <c r="G542">
        <v>0</v>
      </c>
      <c r="H542">
        <v>0</v>
      </c>
    </row>
    <row r="543" spans="1:8" x14ac:dyDescent="0.2">
      <c r="A543">
        <v>952</v>
      </c>
      <c r="B543">
        <v>39001</v>
      </c>
      <c r="C543" t="s">
        <v>493</v>
      </c>
      <c r="D543">
        <v>37.53</v>
      </c>
      <c r="E543">
        <v>586.59</v>
      </c>
      <c r="F543">
        <v>500</v>
      </c>
      <c r="G543">
        <v>445.44</v>
      </c>
      <c r="H543">
        <v>445.44</v>
      </c>
    </row>
    <row r="544" spans="1:8" x14ac:dyDescent="0.2">
      <c r="A544">
        <v>952</v>
      </c>
      <c r="B544">
        <v>39002</v>
      </c>
      <c r="C544" t="s">
        <v>1085</v>
      </c>
      <c r="D544">
        <v>355.77</v>
      </c>
      <c r="E544">
        <v>4572.9399999999996</v>
      </c>
      <c r="F544">
        <v>5000</v>
      </c>
      <c r="G544">
        <v>10142.74</v>
      </c>
      <c r="H544">
        <v>10142.74</v>
      </c>
    </row>
    <row r="545" spans="1:8" x14ac:dyDescent="0.2">
      <c r="A545">
        <v>952</v>
      </c>
      <c r="B545">
        <v>39003</v>
      </c>
      <c r="C545" t="s">
        <v>514</v>
      </c>
      <c r="D545">
        <v>0</v>
      </c>
      <c r="E545">
        <v>0</v>
      </c>
      <c r="F545">
        <v>0</v>
      </c>
      <c r="G545">
        <v>0</v>
      </c>
      <c r="H545">
        <v>0</v>
      </c>
    </row>
    <row r="546" spans="1:8" x14ac:dyDescent="0.2">
      <c r="A546">
        <v>952</v>
      </c>
      <c r="B546">
        <v>39004</v>
      </c>
      <c r="C546" t="s">
        <v>563</v>
      </c>
      <c r="D546">
        <v>0</v>
      </c>
      <c r="E546">
        <v>0</v>
      </c>
      <c r="F546">
        <v>0</v>
      </c>
      <c r="G546">
        <v>280.32</v>
      </c>
      <c r="H546">
        <v>280.32</v>
      </c>
    </row>
    <row r="547" spans="1:8" x14ac:dyDescent="0.2">
      <c r="A547">
        <v>952</v>
      </c>
      <c r="B547">
        <v>39005</v>
      </c>
      <c r="C547" t="s">
        <v>614</v>
      </c>
      <c r="D547">
        <v>0</v>
      </c>
      <c r="E547">
        <v>521.73</v>
      </c>
      <c r="F547">
        <v>0</v>
      </c>
      <c r="G547">
        <v>2113.65</v>
      </c>
      <c r="H547">
        <v>2113.65</v>
      </c>
    </row>
    <row r="548" spans="1:8" x14ac:dyDescent="0.2">
      <c r="A548">
        <v>952</v>
      </c>
      <c r="B548">
        <v>39006</v>
      </c>
      <c r="C548" t="s">
        <v>565</v>
      </c>
      <c r="D548">
        <v>0</v>
      </c>
      <c r="E548">
        <v>28.26</v>
      </c>
      <c r="F548">
        <v>500</v>
      </c>
      <c r="G548">
        <v>544.36</v>
      </c>
      <c r="H548">
        <v>544.36</v>
      </c>
    </row>
    <row r="549" spans="1:8" x14ac:dyDescent="0.2">
      <c r="A549">
        <v>952</v>
      </c>
      <c r="B549">
        <v>39007</v>
      </c>
      <c r="C549" t="s">
        <v>485</v>
      </c>
      <c r="D549">
        <v>177.26</v>
      </c>
      <c r="E549">
        <v>1344.15</v>
      </c>
      <c r="F549">
        <v>1800</v>
      </c>
      <c r="G549">
        <v>934.86</v>
      </c>
      <c r="H549">
        <v>934.86</v>
      </c>
    </row>
    <row r="550" spans="1:8" x14ac:dyDescent="0.2">
      <c r="A550">
        <v>952</v>
      </c>
      <c r="B550">
        <v>39008</v>
      </c>
      <c r="C550" t="s">
        <v>538</v>
      </c>
      <c r="D550">
        <v>0</v>
      </c>
      <c r="E550">
        <v>1480.47</v>
      </c>
      <c r="F550">
        <v>2000</v>
      </c>
      <c r="G550">
        <v>2068.8200000000002</v>
      </c>
      <c r="H550">
        <v>2068.8200000000002</v>
      </c>
    </row>
    <row r="551" spans="1:8" x14ac:dyDescent="0.2">
      <c r="A551">
        <v>952</v>
      </c>
      <c r="B551">
        <v>39009</v>
      </c>
      <c r="C551" t="s">
        <v>814</v>
      </c>
      <c r="D551">
        <v>299.32</v>
      </c>
      <c r="E551">
        <v>3242.92</v>
      </c>
      <c r="F551">
        <v>2800</v>
      </c>
      <c r="G551">
        <v>2820.45</v>
      </c>
      <c r="H551">
        <v>2820.45</v>
      </c>
    </row>
    <row r="552" spans="1:8" x14ac:dyDescent="0.2">
      <c r="A552">
        <v>952</v>
      </c>
      <c r="B552">
        <v>39010</v>
      </c>
      <c r="C552" t="s">
        <v>551</v>
      </c>
      <c r="D552">
        <v>0</v>
      </c>
      <c r="E552">
        <v>-184.43</v>
      </c>
      <c r="F552">
        <v>200</v>
      </c>
      <c r="G552">
        <v>80.97</v>
      </c>
      <c r="H552">
        <v>80.97</v>
      </c>
    </row>
    <row r="553" spans="1:8" x14ac:dyDescent="0.2">
      <c r="A553">
        <v>952</v>
      </c>
      <c r="B553">
        <v>39011</v>
      </c>
      <c r="C553" t="s">
        <v>566</v>
      </c>
      <c r="D553">
        <v>0</v>
      </c>
      <c r="E553">
        <v>0</v>
      </c>
      <c r="F553">
        <v>100</v>
      </c>
      <c r="G553">
        <v>0</v>
      </c>
      <c r="H553">
        <v>0</v>
      </c>
    </row>
    <row r="554" spans="1:8" x14ac:dyDescent="0.2">
      <c r="A554">
        <v>952</v>
      </c>
      <c r="B554">
        <v>39012</v>
      </c>
      <c r="C554" t="s">
        <v>1086</v>
      </c>
      <c r="D554">
        <v>0</v>
      </c>
      <c r="E554">
        <v>0</v>
      </c>
      <c r="F554">
        <v>0</v>
      </c>
      <c r="G554">
        <v>0</v>
      </c>
      <c r="H554">
        <v>0</v>
      </c>
    </row>
    <row r="555" spans="1:8" x14ac:dyDescent="0.2">
      <c r="A555">
        <v>952</v>
      </c>
      <c r="B555">
        <v>39013</v>
      </c>
      <c r="C555" t="s">
        <v>617</v>
      </c>
      <c r="D555">
        <v>0</v>
      </c>
      <c r="E555">
        <v>383.84</v>
      </c>
      <c r="F555">
        <v>800</v>
      </c>
      <c r="G555">
        <v>700.31</v>
      </c>
      <c r="H555">
        <v>700.31</v>
      </c>
    </row>
    <row r="556" spans="1:8" x14ac:dyDescent="0.2">
      <c r="A556">
        <v>952</v>
      </c>
      <c r="B556">
        <v>39014</v>
      </c>
      <c r="C556" t="s">
        <v>1087</v>
      </c>
      <c r="D556">
        <v>0</v>
      </c>
      <c r="E556">
        <v>114.98</v>
      </c>
      <c r="F556">
        <v>2000</v>
      </c>
      <c r="G556">
        <v>992.25</v>
      </c>
      <c r="H556">
        <v>992.25</v>
      </c>
    </row>
    <row r="557" spans="1:8" x14ac:dyDescent="0.2">
      <c r="A557">
        <v>952</v>
      </c>
      <c r="B557">
        <v>39020</v>
      </c>
      <c r="C557" t="s">
        <v>1149</v>
      </c>
      <c r="D557">
        <v>0</v>
      </c>
      <c r="E557">
        <v>4.3499999999999996</v>
      </c>
      <c r="F557">
        <v>200</v>
      </c>
      <c r="G557">
        <v>0</v>
      </c>
      <c r="H557">
        <v>0</v>
      </c>
    </row>
    <row r="558" spans="1:8" x14ac:dyDescent="0.2">
      <c r="A558">
        <v>952</v>
      </c>
      <c r="B558">
        <v>39030</v>
      </c>
      <c r="C558" t="s">
        <v>1088</v>
      </c>
      <c r="D558">
        <v>2995.48</v>
      </c>
      <c r="E558">
        <v>24599.65</v>
      </c>
      <c r="F558">
        <v>52519</v>
      </c>
      <c r="G558">
        <v>47496.17</v>
      </c>
      <c r="H558">
        <v>47496.17</v>
      </c>
    </row>
    <row r="559" spans="1:8" x14ac:dyDescent="0.2">
      <c r="A559">
        <v>952</v>
      </c>
      <c r="B559">
        <v>39031</v>
      </c>
      <c r="C559" t="s">
        <v>552</v>
      </c>
      <c r="D559">
        <v>0</v>
      </c>
      <c r="E559">
        <v>1085.8800000000001</v>
      </c>
      <c r="F559">
        <v>2000</v>
      </c>
      <c r="G559">
        <v>1312.03</v>
      </c>
      <c r="H559">
        <v>1312.03</v>
      </c>
    </row>
    <row r="560" spans="1:8" x14ac:dyDescent="0.2">
      <c r="A560">
        <v>952</v>
      </c>
      <c r="B560">
        <v>39032</v>
      </c>
      <c r="C560" t="s">
        <v>448</v>
      </c>
      <c r="D560">
        <v>843.35</v>
      </c>
      <c r="E560">
        <v>3998.28</v>
      </c>
      <c r="F560">
        <v>2500</v>
      </c>
      <c r="G560">
        <v>3677.22</v>
      </c>
      <c r="H560">
        <v>3677.22</v>
      </c>
    </row>
    <row r="561" spans="1:8" x14ac:dyDescent="0.2">
      <c r="A561">
        <v>952</v>
      </c>
      <c r="B561">
        <v>39033</v>
      </c>
      <c r="C561" t="s">
        <v>58</v>
      </c>
      <c r="D561">
        <v>0</v>
      </c>
      <c r="E561">
        <v>0</v>
      </c>
      <c r="F561">
        <v>0</v>
      </c>
      <c r="G561">
        <v>0</v>
      </c>
      <c r="H561">
        <v>0</v>
      </c>
    </row>
    <row r="562" spans="1:8" x14ac:dyDescent="0.2">
      <c r="A562">
        <v>952</v>
      </c>
      <c r="B562">
        <v>39034</v>
      </c>
      <c r="C562" t="s">
        <v>510</v>
      </c>
      <c r="D562">
        <v>900.81</v>
      </c>
      <c r="E562">
        <v>10117.299999999999</v>
      </c>
      <c r="F562">
        <v>13000</v>
      </c>
      <c r="G562">
        <v>12300.13</v>
      </c>
      <c r="H562">
        <v>12300.13</v>
      </c>
    </row>
    <row r="563" spans="1:8" x14ac:dyDescent="0.2">
      <c r="A563">
        <v>952</v>
      </c>
      <c r="B563">
        <v>39051</v>
      </c>
      <c r="C563" t="s">
        <v>493</v>
      </c>
      <c r="D563">
        <v>352.63</v>
      </c>
      <c r="E563">
        <v>1586.41</v>
      </c>
      <c r="F563">
        <v>1300</v>
      </c>
      <c r="G563">
        <v>1537.09</v>
      </c>
      <c r="H563">
        <v>1537.09</v>
      </c>
    </row>
    <row r="564" spans="1:8" x14ac:dyDescent="0.2">
      <c r="A564">
        <v>952</v>
      </c>
      <c r="B564">
        <v>39052</v>
      </c>
      <c r="C564" t="s">
        <v>628</v>
      </c>
      <c r="D564">
        <v>1061.49</v>
      </c>
      <c r="E564">
        <v>9227.7199999999993</v>
      </c>
      <c r="F564">
        <v>10500</v>
      </c>
      <c r="G564">
        <v>14132.33</v>
      </c>
      <c r="H564">
        <v>14132.33</v>
      </c>
    </row>
    <row r="565" spans="1:8" x14ac:dyDescent="0.2">
      <c r="A565">
        <v>952</v>
      </c>
      <c r="B565">
        <v>39053</v>
      </c>
      <c r="C565" t="s">
        <v>514</v>
      </c>
      <c r="D565">
        <v>0</v>
      </c>
      <c r="E565">
        <v>0</v>
      </c>
      <c r="F565">
        <v>0</v>
      </c>
      <c r="G565">
        <v>0</v>
      </c>
      <c r="H565">
        <v>0</v>
      </c>
    </row>
    <row r="566" spans="1:8" x14ac:dyDescent="0.2">
      <c r="A566">
        <v>952</v>
      </c>
      <c r="B566">
        <v>39054</v>
      </c>
      <c r="C566" t="s">
        <v>563</v>
      </c>
      <c r="D566">
        <v>0</v>
      </c>
      <c r="E566">
        <v>0</v>
      </c>
      <c r="F566">
        <v>0</v>
      </c>
      <c r="G566">
        <v>160.87</v>
      </c>
      <c r="H566">
        <v>160.87</v>
      </c>
    </row>
    <row r="567" spans="1:8" x14ac:dyDescent="0.2">
      <c r="A567">
        <v>952</v>
      </c>
      <c r="B567">
        <v>39055</v>
      </c>
      <c r="C567" t="s">
        <v>811</v>
      </c>
      <c r="D567">
        <v>0</v>
      </c>
      <c r="E567">
        <v>0</v>
      </c>
      <c r="F567">
        <v>0</v>
      </c>
      <c r="G567">
        <v>9120.5499999999993</v>
      </c>
      <c r="H567">
        <v>9120.5499999999993</v>
      </c>
    </row>
    <row r="568" spans="1:8" x14ac:dyDescent="0.2">
      <c r="A568">
        <v>952</v>
      </c>
      <c r="B568">
        <v>39056</v>
      </c>
      <c r="C568" t="s">
        <v>565</v>
      </c>
      <c r="D568">
        <v>86.96</v>
      </c>
      <c r="E568">
        <v>500.44</v>
      </c>
      <c r="F568">
        <v>750</v>
      </c>
      <c r="G568">
        <v>157.32</v>
      </c>
      <c r="H568">
        <v>157.32</v>
      </c>
    </row>
    <row r="569" spans="1:8" x14ac:dyDescent="0.2">
      <c r="A569">
        <v>952</v>
      </c>
      <c r="B569">
        <v>39057</v>
      </c>
      <c r="C569" t="s">
        <v>485</v>
      </c>
      <c r="D569">
        <v>365.34</v>
      </c>
      <c r="E569">
        <v>2601.06</v>
      </c>
      <c r="F569">
        <v>2800</v>
      </c>
      <c r="G569">
        <v>2260.33</v>
      </c>
      <c r="H569">
        <v>2260.33</v>
      </c>
    </row>
    <row r="570" spans="1:8" x14ac:dyDescent="0.2">
      <c r="A570">
        <v>952</v>
      </c>
      <c r="B570">
        <v>39058</v>
      </c>
      <c r="C570" t="s">
        <v>538</v>
      </c>
      <c r="D570">
        <v>12.7</v>
      </c>
      <c r="E570">
        <v>2724.11</v>
      </c>
      <c r="F570">
        <v>3000</v>
      </c>
      <c r="G570">
        <v>2935.48</v>
      </c>
      <c r="H570">
        <v>2935.48</v>
      </c>
    </row>
    <row r="571" spans="1:8" x14ac:dyDescent="0.2">
      <c r="A571">
        <v>952</v>
      </c>
      <c r="B571">
        <v>39059</v>
      </c>
      <c r="C571" t="s">
        <v>814</v>
      </c>
      <c r="D571">
        <v>-319.45999999999998</v>
      </c>
      <c r="E571">
        <v>2954.38</v>
      </c>
      <c r="F571">
        <v>3000</v>
      </c>
      <c r="G571">
        <v>3997.3</v>
      </c>
      <c r="H571">
        <v>3997.3</v>
      </c>
    </row>
    <row r="572" spans="1:8" x14ac:dyDescent="0.2">
      <c r="A572">
        <v>952</v>
      </c>
      <c r="B572">
        <v>39060</v>
      </c>
      <c r="C572" t="s">
        <v>551</v>
      </c>
      <c r="D572">
        <v>0</v>
      </c>
      <c r="E572">
        <v>106.4</v>
      </c>
      <c r="F572">
        <v>750</v>
      </c>
      <c r="G572">
        <v>377.1</v>
      </c>
      <c r="H572">
        <v>377.1</v>
      </c>
    </row>
    <row r="573" spans="1:8" x14ac:dyDescent="0.2">
      <c r="A573">
        <v>952</v>
      </c>
      <c r="B573">
        <v>39061</v>
      </c>
      <c r="C573" t="s">
        <v>566</v>
      </c>
      <c r="D573">
        <v>0</v>
      </c>
      <c r="E573">
        <v>0</v>
      </c>
      <c r="F573">
        <v>100</v>
      </c>
      <c r="G573">
        <v>47.83</v>
      </c>
      <c r="H573">
        <v>47.83</v>
      </c>
    </row>
    <row r="574" spans="1:8" x14ac:dyDescent="0.2">
      <c r="A574">
        <v>952</v>
      </c>
      <c r="B574">
        <v>39062</v>
      </c>
      <c r="C574" t="s">
        <v>1089</v>
      </c>
      <c r="D574">
        <v>0</v>
      </c>
      <c r="E574">
        <v>471.31</v>
      </c>
      <c r="F574">
        <v>750</v>
      </c>
      <c r="G574">
        <v>717.04</v>
      </c>
      <c r="H574">
        <v>717.04</v>
      </c>
    </row>
    <row r="575" spans="1:8" x14ac:dyDescent="0.2">
      <c r="A575">
        <v>952</v>
      </c>
      <c r="B575">
        <v>39063</v>
      </c>
      <c r="C575" t="s">
        <v>1090</v>
      </c>
      <c r="D575">
        <v>669.13</v>
      </c>
      <c r="E575">
        <v>1863.62</v>
      </c>
      <c r="F575">
        <v>500</v>
      </c>
      <c r="G575">
        <v>395.89</v>
      </c>
      <c r="H575">
        <v>395.89</v>
      </c>
    </row>
    <row r="576" spans="1:8" x14ac:dyDescent="0.2">
      <c r="A576">
        <v>952</v>
      </c>
      <c r="B576">
        <v>39064</v>
      </c>
      <c r="C576" t="s">
        <v>1149</v>
      </c>
      <c r="D576">
        <v>0</v>
      </c>
      <c r="E576">
        <v>67.8</v>
      </c>
      <c r="F576">
        <v>200</v>
      </c>
      <c r="G576">
        <v>225.38</v>
      </c>
      <c r="H576">
        <v>225.38</v>
      </c>
    </row>
    <row r="577" spans="1:8" x14ac:dyDescent="0.2">
      <c r="A577">
        <v>952</v>
      </c>
      <c r="B577">
        <v>39080</v>
      </c>
      <c r="C577" t="s">
        <v>1091</v>
      </c>
      <c r="D577">
        <v>16386.78</v>
      </c>
      <c r="E577">
        <v>60493.93</v>
      </c>
      <c r="F577">
        <v>51163</v>
      </c>
      <c r="G577">
        <v>78705.56</v>
      </c>
      <c r="H577">
        <v>78705.56</v>
      </c>
    </row>
    <row r="578" spans="1:8" x14ac:dyDescent="0.2">
      <c r="A578">
        <v>952</v>
      </c>
      <c r="B578">
        <v>39081</v>
      </c>
      <c r="C578" t="s">
        <v>552</v>
      </c>
      <c r="D578">
        <v>452.17</v>
      </c>
      <c r="E578">
        <v>2434.11</v>
      </c>
      <c r="F578">
        <v>4500</v>
      </c>
      <c r="G578">
        <v>3356.19</v>
      </c>
      <c r="H578">
        <v>3356.19</v>
      </c>
    </row>
    <row r="579" spans="1:8" x14ac:dyDescent="0.2">
      <c r="A579">
        <v>952</v>
      </c>
      <c r="B579">
        <v>39082</v>
      </c>
      <c r="C579" t="s">
        <v>448</v>
      </c>
      <c r="D579">
        <v>1414.57</v>
      </c>
      <c r="E579">
        <v>7311.62</v>
      </c>
      <c r="F579">
        <v>12000</v>
      </c>
      <c r="G579">
        <v>10991.67</v>
      </c>
      <c r="H579">
        <v>10991.67</v>
      </c>
    </row>
    <row r="580" spans="1:8" x14ac:dyDescent="0.2">
      <c r="A580">
        <v>952</v>
      </c>
      <c r="B580">
        <v>39083</v>
      </c>
      <c r="C580" t="s">
        <v>58</v>
      </c>
      <c r="D580">
        <v>0</v>
      </c>
      <c r="E580">
        <v>0</v>
      </c>
      <c r="F580">
        <v>0</v>
      </c>
      <c r="G580">
        <v>0</v>
      </c>
      <c r="H580">
        <v>0</v>
      </c>
    </row>
    <row r="581" spans="1:8" x14ac:dyDescent="0.2">
      <c r="A581">
        <v>952</v>
      </c>
      <c r="B581">
        <v>39084</v>
      </c>
      <c r="C581" t="s">
        <v>510</v>
      </c>
      <c r="D581">
        <v>1242.8900000000001</v>
      </c>
      <c r="E581">
        <v>10896.59</v>
      </c>
      <c r="F581">
        <v>12000</v>
      </c>
      <c r="G581">
        <v>11803.45</v>
      </c>
      <c r="H581">
        <v>11803.45</v>
      </c>
    </row>
    <row r="582" spans="1:8" x14ac:dyDescent="0.2">
      <c r="A582">
        <v>952</v>
      </c>
      <c r="B582">
        <v>39085</v>
      </c>
      <c r="C582" t="s">
        <v>589</v>
      </c>
      <c r="D582">
        <v>0</v>
      </c>
      <c r="E582">
        <v>0</v>
      </c>
      <c r="F582">
        <v>0</v>
      </c>
      <c r="G582">
        <v>0</v>
      </c>
      <c r="H582">
        <v>0</v>
      </c>
    </row>
    <row r="583" spans="1:8" x14ac:dyDescent="0.2">
      <c r="A583">
        <v>952</v>
      </c>
      <c r="B583">
        <v>39086</v>
      </c>
      <c r="C583" t="s">
        <v>1092</v>
      </c>
      <c r="D583">
        <v>0</v>
      </c>
      <c r="E583">
        <v>0</v>
      </c>
      <c r="F583">
        <v>0</v>
      </c>
      <c r="G583">
        <v>0</v>
      </c>
      <c r="H583">
        <v>0</v>
      </c>
    </row>
    <row r="584" spans="1:8" x14ac:dyDescent="0.2">
      <c r="A584">
        <v>952</v>
      </c>
      <c r="B584">
        <v>39101</v>
      </c>
      <c r="C584" t="s">
        <v>493</v>
      </c>
      <c r="D584">
        <v>113.05</v>
      </c>
      <c r="E584">
        <v>334.12</v>
      </c>
      <c r="F584">
        <v>200</v>
      </c>
      <c r="G584">
        <v>118.11</v>
      </c>
      <c r="H584">
        <v>118.11</v>
      </c>
    </row>
    <row r="585" spans="1:8" x14ac:dyDescent="0.2">
      <c r="A585">
        <v>952</v>
      </c>
      <c r="B585">
        <v>39102</v>
      </c>
      <c r="C585" t="s">
        <v>628</v>
      </c>
      <c r="D585">
        <v>225.19</v>
      </c>
      <c r="E585">
        <v>3205.14</v>
      </c>
      <c r="F585">
        <v>3800</v>
      </c>
      <c r="G585">
        <v>7493.53</v>
      </c>
      <c r="H585">
        <v>7493.53</v>
      </c>
    </row>
    <row r="586" spans="1:8" x14ac:dyDescent="0.2">
      <c r="A586">
        <v>952</v>
      </c>
      <c r="B586">
        <v>39103</v>
      </c>
      <c r="C586" t="s">
        <v>514</v>
      </c>
      <c r="D586">
        <v>0</v>
      </c>
      <c r="E586">
        <v>0</v>
      </c>
      <c r="F586">
        <v>0</v>
      </c>
      <c r="G586">
        <v>0</v>
      </c>
      <c r="H586">
        <v>0</v>
      </c>
    </row>
    <row r="587" spans="1:8" x14ac:dyDescent="0.2">
      <c r="A587">
        <v>952</v>
      </c>
      <c r="B587">
        <v>39104</v>
      </c>
      <c r="C587" t="s">
        <v>563</v>
      </c>
      <c r="D587">
        <v>105.13</v>
      </c>
      <c r="E587">
        <v>705.7</v>
      </c>
      <c r="F587">
        <v>1800</v>
      </c>
      <c r="G587">
        <v>1337.14</v>
      </c>
      <c r="H587">
        <v>1337.14</v>
      </c>
    </row>
    <row r="588" spans="1:8" x14ac:dyDescent="0.2">
      <c r="A588">
        <v>952</v>
      </c>
      <c r="B588">
        <v>39105</v>
      </c>
      <c r="C588" t="s">
        <v>614</v>
      </c>
      <c r="D588">
        <v>0</v>
      </c>
      <c r="E588">
        <v>0</v>
      </c>
      <c r="F588">
        <v>0</v>
      </c>
      <c r="G588">
        <v>400.17</v>
      </c>
      <c r="H588">
        <v>400.17</v>
      </c>
    </row>
    <row r="589" spans="1:8" x14ac:dyDescent="0.2">
      <c r="A589">
        <v>952</v>
      </c>
      <c r="B589">
        <v>39106</v>
      </c>
      <c r="C589" t="s">
        <v>565</v>
      </c>
      <c r="D589">
        <v>78</v>
      </c>
      <c r="E589">
        <v>251.67</v>
      </c>
      <c r="F589">
        <v>500</v>
      </c>
      <c r="G589">
        <v>128.96</v>
      </c>
      <c r="H589">
        <v>128.96</v>
      </c>
    </row>
    <row r="590" spans="1:8" x14ac:dyDescent="0.2">
      <c r="A590">
        <v>952</v>
      </c>
      <c r="B590">
        <v>39107</v>
      </c>
      <c r="C590" t="s">
        <v>485</v>
      </c>
      <c r="D590">
        <v>321.66000000000003</v>
      </c>
      <c r="E590">
        <v>846.22</v>
      </c>
      <c r="F590">
        <v>1200</v>
      </c>
      <c r="G590">
        <v>1155.44</v>
      </c>
      <c r="H590">
        <v>1155.44</v>
      </c>
    </row>
    <row r="591" spans="1:8" x14ac:dyDescent="0.2">
      <c r="A591">
        <v>952</v>
      </c>
      <c r="B591">
        <v>39108</v>
      </c>
      <c r="C591" t="s">
        <v>538</v>
      </c>
      <c r="D591">
        <v>152.94</v>
      </c>
      <c r="E591">
        <v>924.8</v>
      </c>
      <c r="F591">
        <v>1000</v>
      </c>
      <c r="G591">
        <v>1217.0999999999999</v>
      </c>
      <c r="H591">
        <v>1217.0999999999999</v>
      </c>
    </row>
    <row r="592" spans="1:8" x14ac:dyDescent="0.2">
      <c r="A592">
        <v>952</v>
      </c>
      <c r="B592">
        <v>39109</v>
      </c>
      <c r="C592" t="s">
        <v>814</v>
      </c>
      <c r="D592">
        <v>787.01</v>
      </c>
      <c r="E592">
        <v>3779.4</v>
      </c>
      <c r="F592">
        <v>4700</v>
      </c>
      <c r="G592">
        <v>3219.56</v>
      </c>
      <c r="H592">
        <v>3219.56</v>
      </c>
    </row>
    <row r="593" spans="1:8" x14ac:dyDescent="0.2">
      <c r="A593">
        <v>952</v>
      </c>
      <c r="B593">
        <v>39110</v>
      </c>
      <c r="C593" t="s">
        <v>551</v>
      </c>
      <c r="D593">
        <v>0</v>
      </c>
      <c r="E593">
        <v>0</v>
      </c>
      <c r="F593">
        <v>200</v>
      </c>
      <c r="G593">
        <v>0</v>
      </c>
      <c r="H593">
        <v>0</v>
      </c>
    </row>
    <row r="594" spans="1:8" x14ac:dyDescent="0.2">
      <c r="A594">
        <v>952</v>
      </c>
      <c r="B594">
        <v>39111</v>
      </c>
      <c r="C594" t="s">
        <v>566</v>
      </c>
      <c r="D594">
        <v>0</v>
      </c>
      <c r="E594">
        <v>10.61</v>
      </c>
      <c r="F594">
        <v>100</v>
      </c>
      <c r="G594">
        <v>99.13</v>
      </c>
      <c r="H594">
        <v>99.13</v>
      </c>
    </row>
    <row r="595" spans="1:8" x14ac:dyDescent="0.2">
      <c r="A595">
        <v>952</v>
      </c>
      <c r="B595">
        <v>39112</v>
      </c>
      <c r="C595" t="s">
        <v>617</v>
      </c>
      <c r="D595">
        <v>32.090000000000003</v>
      </c>
      <c r="E595">
        <v>1074.06</v>
      </c>
      <c r="F595">
        <v>1500</v>
      </c>
      <c r="G595">
        <v>1722.67</v>
      </c>
      <c r="H595">
        <v>1722.67</v>
      </c>
    </row>
    <row r="596" spans="1:8" x14ac:dyDescent="0.2">
      <c r="A596">
        <v>952</v>
      </c>
      <c r="B596">
        <v>39113</v>
      </c>
      <c r="C596" t="s">
        <v>1093</v>
      </c>
      <c r="D596">
        <v>0</v>
      </c>
      <c r="E596">
        <v>0</v>
      </c>
      <c r="F596">
        <v>0</v>
      </c>
      <c r="G596">
        <v>0</v>
      </c>
      <c r="H596">
        <v>0</v>
      </c>
    </row>
    <row r="597" spans="1:8" x14ac:dyDescent="0.2">
      <c r="A597">
        <v>952</v>
      </c>
      <c r="B597">
        <v>39115</v>
      </c>
      <c r="C597" t="s">
        <v>1149</v>
      </c>
      <c r="D597">
        <v>12.16</v>
      </c>
      <c r="E597">
        <v>36.119999999999997</v>
      </c>
      <c r="F597">
        <v>200</v>
      </c>
      <c r="G597">
        <v>177.39</v>
      </c>
      <c r="H597">
        <v>177.39</v>
      </c>
    </row>
    <row r="598" spans="1:8" x14ac:dyDescent="0.2">
      <c r="A598">
        <v>952</v>
      </c>
      <c r="B598">
        <v>39130</v>
      </c>
      <c r="C598" t="s">
        <v>1094</v>
      </c>
      <c r="D598">
        <v>3039.09</v>
      </c>
      <c r="E598">
        <v>17077.13</v>
      </c>
      <c r="F598">
        <v>19500</v>
      </c>
      <c r="G598">
        <v>16758.939999999999</v>
      </c>
      <c r="H598">
        <v>16758.939999999999</v>
      </c>
    </row>
    <row r="599" spans="1:8" x14ac:dyDescent="0.2">
      <c r="A599">
        <v>952</v>
      </c>
      <c r="B599">
        <v>39131</v>
      </c>
      <c r="C599" t="s">
        <v>552</v>
      </c>
      <c r="D599">
        <v>0</v>
      </c>
      <c r="E599">
        <v>879.87</v>
      </c>
      <c r="F599">
        <v>1000</v>
      </c>
      <c r="G599">
        <v>647.80999999999995</v>
      </c>
      <c r="H599">
        <v>647.80999999999995</v>
      </c>
    </row>
    <row r="600" spans="1:8" x14ac:dyDescent="0.2">
      <c r="A600">
        <v>952</v>
      </c>
      <c r="B600">
        <v>39132</v>
      </c>
      <c r="C600" t="s">
        <v>448</v>
      </c>
      <c r="D600">
        <v>195.88</v>
      </c>
      <c r="E600">
        <v>1054.3499999999999</v>
      </c>
      <c r="F600">
        <v>800</v>
      </c>
      <c r="G600">
        <v>743.33</v>
      </c>
      <c r="H600">
        <v>743.33</v>
      </c>
    </row>
    <row r="601" spans="1:8" x14ac:dyDescent="0.2">
      <c r="A601">
        <v>952</v>
      </c>
      <c r="B601">
        <v>39134</v>
      </c>
      <c r="C601" t="s">
        <v>510</v>
      </c>
      <c r="D601">
        <v>705.53</v>
      </c>
      <c r="E601">
        <v>5838.06</v>
      </c>
      <c r="F601">
        <v>4500</v>
      </c>
      <c r="G601">
        <v>4506.42</v>
      </c>
      <c r="H601">
        <v>4506.42</v>
      </c>
    </row>
    <row r="602" spans="1:8" x14ac:dyDescent="0.2">
      <c r="A602">
        <v>952</v>
      </c>
      <c r="B602">
        <v>39135</v>
      </c>
      <c r="C602" t="s">
        <v>589</v>
      </c>
      <c r="D602">
        <v>0</v>
      </c>
      <c r="E602">
        <v>0</v>
      </c>
      <c r="F602">
        <v>0</v>
      </c>
      <c r="G602">
        <v>0</v>
      </c>
      <c r="H602">
        <v>0</v>
      </c>
    </row>
    <row r="603" spans="1:8" x14ac:dyDescent="0.2">
      <c r="A603">
        <v>952</v>
      </c>
      <c r="B603">
        <v>39136</v>
      </c>
      <c r="C603" t="s">
        <v>56</v>
      </c>
      <c r="D603">
        <v>0</v>
      </c>
      <c r="E603">
        <v>0</v>
      </c>
      <c r="F603">
        <v>0</v>
      </c>
      <c r="G603">
        <v>0</v>
      </c>
      <c r="H603">
        <v>0</v>
      </c>
    </row>
    <row r="604" spans="1:8" x14ac:dyDescent="0.2">
      <c r="A604">
        <v>952</v>
      </c>
      <c r="B604">
        <v>39151</v>
      </c>
      <c r="C604" t="s">
        <v>493</v>
      </c>
      <c r="D604">
        <v>167.46</v>
      </c>
      <c r="E604">
        <v>755.13</v>
      </c>
      <c r="F604">
        <v>800</v>
      </c>
      <c r="G604">
        <v>571.79</v>
      </c>
      <c r="H604">
        <v>571.79</v>
      </c>
    </row>
    <row r="605" spans="1:8" x14ac:dyDescent="0.2">
      <c r="A605">
        <v>952</v>
      </c>
      <c r="B605">
        <v>39152</v>
      </c>
      <c r="C605" t="s">
        <v>628</v>
      </c>
      <c r="D605">
        <v>481.06</v>
      </c>
      <c r="E605">
        <v>6240.18</v>
      </c>
      <c r="F605">
        <v>6500</v>
      </c>
      <c r="G605">
        <v>10567.91</v>
      </c>
      <c r="H605">
        <v>10567.91</v>
      </c>
    </row>
    <row r="606" spans="1:8" x14ac:dyDescent="0.2">
      <c r="A606">
        <v>952</v>
      </c>
      <c r="B606">
        <v>39153</v>
      </c>
      <c r="C606" t="s">
        <v>514</v>
      </c>
      <c r="D606">
        <v>0</v>
      </c>
      <c r="E606">
        <v>0</v>
      </c>
      <c r="F606">
        <v>0</v>
      </c>
      <c r="G606">
        <v>0</v>
      </c>
      <c r="H606">
        <v>0</v>
      </c>
    </row>
    <row r="607" spans="1:8" x14ac:dyDescent="0.2">
      <c r="A607">
        <v>952</v>
      </c>
      <c r="B607">
        <v>39154</v>
      </c>
      <c r="C607" t="s">
        <v>563</v>
      </c>
      <c r="D607">
        <v>0</v>
      </c>
      <c r="E607">
        <v>0</v>
      </c>
      <c r="F607">
        <v>0</v>
      </c>
      <c r="G607">
        <v>0</v>
      </c>
      <c r="H607">
        <v>0</v>
      </c>
    </row>
    <row r="608" spans="1:8" x14ac:dyDescent="0.2">
      <c r="A608">
        <v>952</v>
      </c>
      <c r="B608">
        <v>39155</v>
      </c>
      <c r="C608" t="s">
        <v>614</v>
      </c>
      <c r="D608">
        <v>0</v>
      </c>
      <c r="E608">
        <v>20.97</v>
      </c>
      <c r="F608">
        <v>0</v>
      </c>
      <c r="G608">
        <v>1683.42</v>
      </c>
      <c r="H608">
        <v>1683.42</v>
      </c>
    </row>
    <row r="609" spans="1:8" x14ac:dyDescent="0.2">
      <c r="A609">
        <v>952</v>
      </c>
      <c r="B609">
        <v>39156</v>
      </c>
      <c r="C609" t="s">
        <v>565</v>
      </c>
      <c r="D609">
        <v>43.48</v>
      </c>
      <c r="E609">
        <v>661.09</v>
      </c>
      <c r="F609">
        <v>500</v>
      </c>
      <c r="G609">
        <v>195.19</v>
      </c>
      <c r="H609">
        <v>195.19</v>
      </c>
    </row>
    <row r="610" spans="1:8" x14ac:dyDescent="0.2">
      <c r="A610">
        <v>952</v>
      </c>
      <c r="B610">
        <v>39157</v>
      </c>
      <c r="C610" t="s">
        <v>485</v>
      </c>
      <c r="D610">
        <v>310.67</v>
      </c>
      <c r="E610">
        <v>1829.54</v>
      </c>
      <c r="F610">
        <v>2000</v>
      </c>
      <c r="G610">
        <v>1474.1</v>
      </c>
      <c r="H610">
        <v>1474.1</v>
      </c>
    </row>
    <row r="611" spans="1:8" x14ac:dyDescent="0.2">
      <c r="A611">
        <v>952</v>
      </c>
      <c r="B611">
        <v>39158</v>
      </c>
      <c r="C611" t="s">
        <v>538</v>
      </c>
      <c r="D611">
        <v>0</v>
      </c>
      <c r="E611">
        <v>1171.3599999999999</v>
      </c>
      <c r="F611">
        <v>800</v>
      </c>
      <c r="G611">
        <v>463.95</v>
      </c>
      <c r="H611">
        <v>463.95</v>
      </c>
    </row>
    <row r="612" spans="1:8" x14ac:dyDescent="0.2">
      <c r="A612">
        <v>952</v>
      </c>
      <c r="B612">
        <v>39159</v>
      </c>
      <c r="C612" t="s">
        <v>814</v>
      </c>
      <c r="D612">
        <v>122.44</v>
      </c>
      <c r="E612">
        <v>1770.03</v>
      </c>
      <c r="F612">
        <v>2500</v>
      </c>
      <c r="G612">
        <v>3216.13</v>
      </c>
      <c r="H612">
        <v>3216.13</v>
      </c>
    </row>
    <row r="613" spans="1:8" x14ac:dyDescent="0.2">
      <c r="A613">
        <v>952</v>
      </c>
      <c r="B613">
        <v>39160</v>
      </c>
      <c r="C613" t="s">
        <v>551</v>
      </c>
      <c r="D613">
        <v>0</v>
      </c>
      <c r="E613">
        <v>0</v>
      </c>
      <c r="F613">
        <v>200</v>
      </c>
      <c r="G613">
        <v>86.43</v>
      </c>
      <c r="H613">
        <v>86.43</v>
      </c>
    </row>
    <row r="614" spans="1:8" x14ac:dyDescent="0.2">
      <c r="A614">
        <v>952</v>
      </c>
      <c r="B614">
        <v>39161</v>
      </c>
      <c r="C614" t="s">
        <v>566</v>
      </c>
      <c r="D614">
        <v>0</v>
      </c>
      <c r="E614">
        <v>0</v>
      </c>
      <c r="F614">
        <v>100</v>
      </c>
      <c r="G614">
        <v>0</v>
      </c>
      <c r="H614">
        <v>0</v>
      </c>
    </row>
    <row r="615" spans="1:8" x14ac:dyDescent="0.2">
      <c r="A615">
        <v>952</v>
      </c>
      <c r="B615">
        <v>39162</v>
      </c>
      <c r="C615" t="s">
        <v>1086</v>
      </c>
      <c r="D615">
        <v>0</v>
      </c>
      <c r="E615">
        <v>0</v>
      </c>
      <c r="F615">
        <v>0</v>
      </c>
      <c r="G615">
        <v>0</v>
      </c>
      <c r="H615">
        <v>0</v>
      </c>
    </row>
    <row r="616" spans="1:8" x14ac:dyDescent="0.2">
      <c r="A616">
        <v>952</v>
      </c>
      <c r="B616">
        <v>39163</v>
      </c>
      <c r="C616" t="s">
        <v>574</v>
      </c>
      <c r="D616">
        <v>47.81</v>
      </c>
      <c r="E616">
        <v>1123.48</v>
      </c>
      <c r="F616">
        <v>1000</v>
      </c>
      <c r="G616">
        <v>772.34</v>
      </c>
      <c r="H616">
        <v>772.34</v>
      </c>
    </row>
    <row r="617" spans="1:8" x14ac:dyDescent="0.2">
      <c r="A617">
        <v>952</v>
      </c>
      <c r="B617">
        <v>39164</v>
      </c>
      <c r="C617" t="s">
        <v>1095</v>
      </c>
      <c r="D617">
        <v>260.76</v>
      </c>
      <c r="E617">
        <v>2535.34</v>
      </c>
      <c r="F617">
        <v>1500</v>
      </c>
      <c r="G617">
        <v>4828.3900000000003</v>
      </c>
      <c r="H617">
        <v>4828.3900000000003</v>
      </c>
    </row>
    <row r="618" spans="1:8" x14ac:dyDescent="0.2">
      <c r="A618">
        <v>952</v>
      </c>
      <c r="B618">
        <v>39165</v>
      </c>
      <c r="C618" t="s">
        <v>1096</v>
      </c>
      <c r="D618">
        <v>0</v>
      </c>
      <c r="E618">
        <v>570.75</v>
      </c>
      <c r="F618">
        <v>250</v>
      </c>
      <c r="G618">
        <v>0</v>
      </c>
      <c r="H618">
        <v>0</v>
      </c>
    </row>
    <row r="619" spans="1:8" x14ac:dyDescent="0.2">
      <c r="A619">
        <v>952</v>
      </c>
      <c r="B619">
        <v>39169</v>
      </c>
      <c r="C619" t="s">
        <v>1149</v>
      </c>
      <c r="D619">
        <v>0</v>
      </c>
      <c r="E619">
        <v>0</v>
      </c>
      <c r="F619">
        <v>200</v>
      </c>
      <c r="G619">
        <v>0</v>
      </c>
      <c r="H619">
        <v>0</v>
      </c>
    </row>
    <row r="620" spans="1:8" x14ac:dyDescent="0.2">
      <c r="A620">
        <v>952</v>
      </c>
      <c r="B620">
        <v>39170</v>
      </c>
      <c r="C620" t="s">
        <v>520</v>
      </c>
      <c r="D620">
        <v>0</v>
      </c>
      <c r="E620">
        <v>0</v>
      </c>
      <c r="F620">
        <v>0</v>
      </c>
      <c r="G620">
        <v>0</v>
      </c>
      <c r="H620">
        <v>0</v>
      </c>
    </row>
    <row r="621" spans="1:8" x14ac:dyDescent="0.2">
      <c r="A621">
        <v>952</v>
      </c>
      <c r="B621">
        <v>39180</v>
      </c>
      <c r="C621" t="s">
        <v>506</v>
      </c>
      <c r="D621">
        <v>4680.93</v>
      </c>
      <c r="E621">
        <v>52103.23</v>
      </c>
      <c r="F621">
        <v>54755</v>
      </c>
      <c r="G621">
        <v>54289.7</v>
      </c>
      <c r="H621">
        <v>54289.7</v>
      </c>
    </row>
    <row r="622" spans="1:8" x14ac:dyDescent="0.2">
      <c r="A622">
        <v>952</v>
      </c>
      <c r="B622">
        <v>39181</v>
      </c>
      <c r="C622" t="s">
        <v>552</v>
      </c>
      <c r="D622">
        <v>82.49</v>
      </c>
      <c r="E622">
        <v>2055.77</v>
      </c>
      <c r="F622">
        <v>1500</v>
      </c>
      <c r="G622">
        <v>1110.45</v>
      </c>
      <c r="H622">
        <v>1110.45</v>
      </c>
    </row>
    <row r="623" spans="1:8" x14ac:dyDescent="0.2">
      <c r="A623">
        <v>952</v>
      </c>
      <c r="B623">
        <v>39182</v>
      </c>
      <c r="C623" t="s">
        <v>448</v>
      </c>
      <c r="D623">
        <v>1712.42</v>
      </c>
      <c r="E623">
        <v>10441.42</v>
      </c>
      <c r="F623">
        <v>7500</v>
      </c>
      <c r="G623">
        <v>8920.14</v>
      </c>
      <c r="H623">
        <v>8920.14</v>
      </c>
    </row>
    <row r="624" spans="1:8" x14ac:dyDescent="0.2">
      <c r="A624">
        <v>952</v>
      </c>
      <c r="B624">
        <v>39183</v>
      </c>
      <c r="C624" t="s">
        <v>58</v>
      </c>
      <c r="D624">
        <v>0</v>
      </c>
      <c r="E624">
        <v>0</v>
      </c>
      <c r="F624">
        <v>0</v>
      </c>
      <c r="G624">
        <v>0</v>
      </c>
      <c r="H624">
        <v>0</v>
      </c>
    </row>
    <row r="625" spans="1:8" x14ac:dyDescent="0.2">
      <c r="A625">
        <v>952</v>
      </c>
      <c r="B625">
        <v>39184</v>
      </c>
      <c r="C625" t="s">
        <v>510</v>
      </c>
      <c r="D625">
        <v>887.78</v>
      </c>
      <c r="E625">
        <v>10499.83</v>
      </c>
      <c r="F625">
        <v>9000</v>
      </c>
      <c r="G625">
        <v>9342.61</v>
      </c>
      <c r="H625">
        <v>9342.61</v>
      </c>
    </row>
    <row r="626" spans="1:8" x14ac:dyDescent="0.2">
      <c r="A626">
        <v>952</v>
      </c>
      <c r="B626">
        <v>39185</v>
      </c>
      <c r="C626" t="s">
        <v>589</v>
      </c>
      <c r="D626">
        <v>0</v>
      </c>
      <c r="E626">
        <v>0</v>
      </c>
      <c r="F626">
        <v>0</v>
      </c>
      <c r="G626">
        <v>0</v>
      </c>
      <c r="H626">
        <v>0</v>
      </c>
    </row>
    <row r="627" spans="1:8" x14ac:dyDescent="0.2">
      <c r="A627">
        <v>952</v>
      </c>
      <c r="B627">
        <v>39201</v>
      </c>
      <c r="C627" t="s">
        <v>493</v>
      </c>
      <c r="D627">
        <v>0</v>
      </c>
      <c r="E627">
        <v>364.76</v>
      </c>
      <c r="F627">
        <v>200</v>
      </c>
      <c r="G627">
        <v>54.48</v>
      </c>
      <c r="H627">
        <v>54.48</v>
      </c>
    </row>
    <row r="628" spans="1:8" x14ac:dyDescent="0.2">
      <c r="A628">
        <v>952</v>
      </c>
      <c r="B628">
        <v>39202</v>
      </c>
      <c r="C628" t="s">
        <v>628</v>
      </c>
      <c r="D628">
        <v>143.38</v>
      </c>
      <c r="E628">
        <v>1725.54</v>
      </c>
      <c r="F628">
        <v>2000</v>
      </c>
      <c r="G628">
        <v>4539.71</v>
      </c>
      <c r="H628">
        <v>4539.71</v>
      </c>
    </row>
    <row r="629" spans="1:8" x14ac:dyDescent="0.2">
      <c r="A629">
        <v>952</v>
      </c>
      <c r="B629">
        <v>39203</v>
      </c>
      <c r="C629" t="s">
        <v>514</v>
      </c>
      <c r="D629">
        <v>0</v>
      </c>
      <c r="E629">
        <v>0</v>
      </c>
      <c r="F629">
        <v>872</v>
      </c>
      <c r="G629">
        <v>275.89</v>
      </c>
      <c r="H629">
        <v>275.89</v>
      </c>
    </row>
    <row r="630" spans="1:8" x14ac:dyDescent="0.2">
      <c r="A630">
        <v>952</v>
      </c>
      <c r="B630">
        <v>39204</v>
      </c>
      <c r="C630" t="s">
        <v>563</v>
      </c>
      <c r="D630">
        <v>0</v>
      </c>
      <c r="E630">
        <v>0</v>
      </c>
      <c r="F630">
        <v>0</v>
      </c>
      <c r="G630">
        <v>59.57</v>
      </c>
      <c r="H630">
        <v>59.57</v>
      </c>
    </row>
    <row r="631" spans="1:8" x14ac:dyDescent="0.2">
      <c r="A631">
        <v>952</v>
      </c>
      <c r="B631">
        <v>39205</v>
      </c>
      <c r="C631" t="s">
        <v>614</v>
      </c>
      <c r="D631">
        <v>0</v>
      </c>
      <c r="E631">
        <v>0</v>
      </c>
      <c r="F631">
        <v>0</v>
      </c>
      <c r="G631">
        <v>2173.91</v>
      </c>
      <c r="H631">
        <v>2173.91</v>
      </c>
    </row>
    <row r="632" spans="1:8" x14ac:dyDescent="0.2">
      <c r="A632">
        <v>952</v>
      </c>
      <c r="B632">
        <v>39206</v>
      </c>
      <c r="C632" t="s">
        <v>565</v>
      </c>
      <c r="D632">
        <v>0</v>
      </c>
      <c r="E632">
        <v>170</v>
      </c>
      <c r="F632">
        <v>450</v>
      </c>
      <c r="G632">
        <v>218</v>
      </c>
      <c r="H632">
        <v>218</v>
      </c>
    </row>
    <row r="633" spans="1:8" x14ac:dyDescent="0.2">
      <c r="A633">
        <v>952</v>
      </c>
      <c r="B633">
        <v>39207</v>
      </c>
      <c r="C633" t="s">
        <v>485</v>
      </c>
      <c r="D633">
        <v>117.34</v>
      </c>
      <c r="E633">
        <v>577.25</v>
      </c>
      <c r="F633">
        <v>1200</v>
      </c>
      <c r="G633">
        <v>367.71</v>
      </c>
      <c r="H633">
        <v>367.71</v>
      </c>
    </row>
    <row r="634" spans="1:8" x14ac:dyDescent="0.2">
      <c r="A634">
        <v>952</v>
      </c>
      <c r="B634">
        <v>39208</v>
      </c>
      <c r="C634" t="s">
        <v>538</v>
      </c>
      <c r="D634">
        <v>0</v>
      </c>
      <c r="E634">
        <v>769.34</v>
      </c>
      <c r="F634">
        <v>1000</v>
      </c>
      <c r="G634">
        <v>1020.77</v>
      </c>
      <c r="H634">
        <v>1020.77</v>
      </c>
    </row>
    <row r="635" spans="1:8" x14ac:dyDescent="0.2">
      <c r="A635">
        <v>952</v>
      </c>
      <c r="B635">
        <v>39209</v>
      </c>
      <c r="C635" t="s">
        <v>814</v>
      </c>
      <c r="D635">
        <v>226.69</v>
      </c>
      <c r="E635">
        <v>1589.94</v>
      </c>
      <c r="F635">
        <v>2500</v>
      </c>
      <c r="G635">
        <v>3476.78</v>
      </c>
      <c r="H635">
        <v>3476.78</v>
      </c>
    </row>
    <row r="636" spans="1:8" x14ac:dyDescent="0.2">
      <c r="A636">
        <v>952</v>
      </c>
      <c r="B636">
        <v>39210</v>
      </c>
      <c r="C636" t="s">
        <v>551</v>
      </c>
      <c r="D636">
        <v>0</v>
      </c>
      <c r="E636">
        <v>0</v>
      </c>
      <c r="F636">
        <v>100</v>
      </c>
      <c r="G636">
        <v>21.04</v>
      </c>
      <c r="H636">
        <v>21.04</v>
      </c>
    </row>
    <row r="637" spans="1:8" x14ac:dyDescent="0.2">
      <c r="A637">
        <v>952</v>
      </c>
      <c r="B637">
        <v>39211</v>
      </c>
      <c r="C637" t="s">
        <v>566</v>
      </c>
      <c r="D637">
        <v>0</v>
      </c>
      <c r="E637">
        <v>0</v>
      </c>
      <c r="F637">
        <v>100</v>
      </c>
      <c r="G637">
        <v>0</v>
      </c>
      <c r="H637">
        <v>0</v>
      </c>
    </row>
    <row r="638" spans="1:8" x14ac:dyDescent="0.2">
      <c r="A638">
        <v>952</v>
      </c>
      <c r="B638">
        <v>39212</v>
      </c>
      <c r="C638" t="s">
        <v>1086</v>
      </c>
      <c r="D638">
        <v>0</v>
      </c>
      <c r="E638">
        <v>0</v>
      </c>
      <c r="F638">
        <v>0</v>
      </c>
      <c r="G638">
        <v>0</v>
      </c>
      <c r="H638">
        <v>0</v>
      </c>
    </row>
    <row r="639" spans="1:8" x14ac:dyDescent="0.2">
      <c r="A639">
        <v>952</v>
      </c>
      <c r="B639">
        <v>39214</v>
      </c>
      <c r="C639" t="s">
        <v>617</v>
      </c>
      <c r="D639">
        <v>0</v>
      </c>
      <c r="E639">
        <v>417.18</v>
      </c>
      <c r="F639">
        <v>250</v>
      </c>
      <c r="G639">
        <v>0</v>
      </c>
      <c r="H639">
        <v>0</v>
      </c>
    </row>
    <row r="640" spans="1:8" x14ac:dyDescent="0.2">
      <c r="A640">
        <v>952</v>
      </c>
      <c r="B640">
        <v>39215</v>
      </c>
      <c r="C640" t="s">
        <v>1149</v>
      </c>
      <c r="D640">
        <v>0</v>
      </c>
      <c r="E640">
        <v>0</v>
      </c>
      <c r="F640">
        <v>200</v>
      </c>
      <c r="G640">
        <v>200</v>
      </c>
      <c r="H640">
        <v>200</v>
      </c>
    </row>
    <row r="641" spans="1:8" x14ac:dyDescent="0.2">
      <c r="A641">
        <v>952</v>
      </c>
      <c r="B641">
        <v>39230</v>
      </c>
      <c r="C641" t="s">
        <v>1097</v>
      </c>
      <c r="D641">
        <v>3086.22</v>
      </c>
      <c r="E641">
        <v>27082.69</v>
      </c>
      <c r="F641">
        <v>30270</v>
      </c>
      <c r="G641">
        <v>25621.97</v>
      </c>
      <c r="H641">
        <v>25621.97</v>
      </c>
    </row>
    <row r="642" spans="1:8" x14ac:dyDescent="0.2">
      <c r="A642">
        <v>952</v>
      </c>
      <c r="B642">
        <v>39231</v>
      </c>
      <c r="C642" t="s">
        <v>552</v>
      </c>
      <c r="D642">
        <v>0</v>
      </c>
      <c r="E642">
        <v>390</v>
      </c>
      <c r="F642">
        <v>750</v>
      </c>
      <c r="G642">
        <v>300.68</v>
      </c>
      <c r="H642">
        <v>300.68</v>
      </c>
    </row>
    <row r="643" spans="1:8" x14ac:dyDescent="0.2">
      <c r="A643">
        <v>952</v>
      </c>
      <c r="B643">
        <v>39232</v>
      </c>
      <c r="C643" t="s">
        <v>448</v>
      </c>
      <c r="D643">
        <v>1081.58</v>
      </c>
      <c r="E643">
        <v>2010.06</v>
      </c>
      <c r="F643">
        <v>1500</v>
      </c>
      <c r="G643">
        <v>1863.58</v>
      </c>
      <c r="H643">
        <v>1863.58</v>
      </c>
    </row>
    <row r="644" spans="1:8" x14ac:dyDescent="0.2">
      <c r="A644">
        <v>952</v>
      </c>
      <c r="B644">
        <v>39234</v>
      </c>
      <c r="C644" t="s">
        <v>510</v>
      </c>
      <c r="D644">
        <v>364.28</v>
      </c>
      <c r="E644">
        <v>5555.4</v>
      </c>
      <c r="F644">
        <v>3500</v>
      </c>
      <c r="G644">
        <v>3318.88</v>
      </c>
      <c r="H644">
        <v>3318.88</v>
      </c>
    </row>
    <row r="645" spans="1:8" x14ac:dyDescent="0.2">
      <c r="A645">
        <v>952</v>
      </c>
      <c r="B645">
        <v>39235</v>
      </c>
      <c r="C645" t="s">
        <v>589</v>
      </c>
      <c r="D645">
        <v>0</v>
      </c>
      <c r="E645">
        <v>0</v>
      </c>
      <c r="F645">
        <v>0</v>
      </c>
      <c r="G645">
        <v>0</v>
      </c>
      <c r="H645">
        <v>0</v>
      </c>
    </row>
    <row r="646" spans="1:8" x14ac:dyDescent="0.2">
      <c r="A646">
        <v>952</v>
      </c>
      <c r="B646">
        <v>39251</v>
      </c>
      <c r="C646" t="s">
        <v>493</v>
      </c>
      <c r="D646">
        <v>45.3</v>
      </c>
      <c r="E646">
        <v>648.75</v>
      </c>
      <c r="F646">
        <v>950</v>
      </c>
      <c r="G646">
        <v>757.59</v>
      </c>
      <c r="H646">
        <v>757.59</v>
      </c>
    </row>
    <row r="647" spans="1:8" x14ac:dyDescent="0.2">
      <c r="A647">
        <v>952</v>
      </c>
      <c r="B647">
        <v>39252</v>
      </c>
      <c r="C647" t="s">
        <v>628</v>
      </c>
      <c r="D647">
        <v>316.42</v>
      </c>
      <c r="E647">
        <v>4041.47</v>
      </c>
      <c r="F647">
        <v>4200</v>
      </c>
      <c r="G647">
        <v>7821.1</v>
      </c>
      <c r="H647">
        <v>7821.1</v>
      </c>
    </row>
    <row r="648" spans="1:8" x14ac:dyDescent="0.2">
      <c r="A648">
        <v>952</v>
      </c>
      <c r="B648">
        <v>39253</v>
      </c>
      <c r="C648" t="s">
        <v>514</v>
      </c>
      <c r="D648">
        <v>0</v>
      </c>
      <c r="E648">
        <v>0</v>
      </c>
      <c r="F648">
        <v>0</v>
      </c>
      <c r="G648">
        <v>0</v>
      </c>
      <c r="H648">
        <v>0</v>
      </c>
    </row>
    <row r="649" spans="1:8" x14ac:dyDescent="0.2">
      <c r="A649">
        <v>952</v>
      </c>
      <c r="B649">
        <v>39254</v>
      </c>
      <c r="C649" t="s">
        <v>563</v>
      </c>
      <c r="D649">
        <v>0</v>
      </c>
      <c r="E649">
        <v>0</v>
      </c>
      <c r="F649">
        <v>0</v>
      </c>
      <c r="G649">
        <v>0</v>
      </c>
      <c r="H649">
        <v>0</v>
      </c>
    </row>
    <row r="650" spans="1:8" x14ac:dyDescent="0.2">
      <c r="A650">
        <v>952</v>
      </c>
      <c r="B650">
        <v>39255</v>
      </c>
      <c r="C650" t="s">
        <v>614</v>
      </c>
      <c r="D650">
        <v>0</v>
      </c>
      <c r="E650">
        <v>0</v>
      </c>
      <c r="F650">
        <v>0</v>
      </c>
      <c r="G650">
        <v>4067.65</v>
      </c>
      <c r="H650">
        <v>4067.65</v>
      </c>
    </row>
    <row r="651" spans="1:8" x14ac:dyDescent="0.2">
      <c r="A651">
        <v>952</v>
      </c>
      <c r="B651">
        <v>39256</v>
      </c>
      <c r="C651" t="s">
        <v>565</v>
      </c>
      <c r="D651">
        <v>0</v>
      </c>
      <c r="E651">
        <v>0</v>
      </c>
      <c r="F651">
        <v>300</v>
      </c>
      <c r="G651">
        <v>122.61</v>
      </c>
      <c r="H651">
        <v>122.61</v>
      </c>
    </row>
    <row r="652" spans="1:8" x14ac:dyDescent="0.2">
      <c r="A652">
        <v>952</v>
      </c>
      <c r="B652">
        <v>39257</v>
      </c>
      <c r="C652" t="s">
        <v>485</v>
      </c>
      <c r="D652">
        <v>419.57</v>
      </c>
      <c r="E652">
        <v>2113.0100000000002</v>
      </c>
      <c r="F652">
        <v>2500</v>
      </c>
      <c r="G652">
        <v>1296.83</v>
      </c>
      <c r="H652">
        <v>1296.83</v>
      </c>
    </row>
    <row r="653" spans="1:8" x14ac:dyDescent="0.2">
      <c r="A653">
        <v>952</v>
      </c>
      <c r="B653">
        <v>39258</v>
      </c>
      <c r="C653" t="s">
        <v>538</v>
      </c>
      <c r="D653">
        <v>60.74</v>
      </c>
      <c r="E653">
        <v>2116.94</v>
      </c>
      <c r="F653">
        <v>1500</v>
      </c>
      <c r="G653">
        <v>1620.9</v>
      </c>
      <c r="H653">
        <v>1620.9</v>
      </c>
    </row>
    <row r="654" spans="1:8" x14ac:dyDescent="0.2">
      <c r="A654">
        <v>952</v>
      </c>
      <c r="B654">
        <v>39259</v>
      </c>
      <c r="C654" t="s">
        <v>814</v>
      </c>
      <c r="D654">
        <v>986.16</v>
      </c>
      <c r="E654">
        <v>6340.37</v>
      </c>
      <c r="F654">
        <v>3000</v>
      </c>
      <c r="G654">
        <v>4155.6000000000004</v>
      </c>
      <c r="H654">
        <v>4155.6000000000004</v>
      </c>
    </row>
    <row r="655" spans="1:8" x14ac:dyDescent="0.2">
      <c r="A655">
        <v>952</v>
      </c>
      <c r="B655">
        <v>39260</v>
      </c>
      <c r="C655" t="s">
        <v>551</v>
      </c>
      <c r="D655">
        <v>0</v>
      </c>
      <c r="E655">
        <v>0</v>
      </c>
      <c r="F655">
        <v>100</v>
      </c>
      <c r="G655">
        <v>127.08</v>
      </c>
      <c r="H655">
        <v>127.08</v>
      </c>
    </row>
    <row r="656" spans="1:8" x14ac:dyDescent="0.2">
      <c r="A656">
        <v>952</v>
      </c>
      <c r="B656">
        <v>39261</v>
      </c>
      <c r="C656" t="s">
        <v>566</v>
      </c>
      <c r="D656">
        <v>0</v>
      </c>
      <c r="E656">
        <v>72.319999999999993</v>
      </c>
      <c r="F656">
        <v>110</v>
      </c>
      <c r="G656">
        <v>0</v>
      </c>
      <c r="H656">
        <v>0</v>
      </c>
    </row>
    <row r="657" spans="1:8" x14ac:dyDescent="0.2">
      <c r="A657">
        <v>952</v>
      </c>
      <c r="B657">
        <v>39262</v>
      </c>
      <c r="C657" t="s">
        <v>1086</v>
      </c>
      <c r="D657">
        <v>0</v>
      </c>
      <c r="E657">
        <v>0</v>
      </c>
      <c r="F657">
        <v>0</v>
      </c>
      <c r="G657">
        <v>0</v>
      </c>
      <c r="H657">
        <v>0</v>
      </c>
    </row>
    <row r="658" spans="1:8" x14ac:dyDescent="0.2">
      <c r="A658">
        <v>952</v>
      </c>
      <c r="B658">
        <v>39263</v>
      </c>
      <c r="C658" t="s">
        <v>1098</v>
      </c>
      <c r="D658">
        <v>69.66</v>
      </c>
      <c r="E658">
        <v>265.51</v>
      </c>
      <c r="F658">
        <v>750</v>
      </c>
      <c r="G658">
        <v>263.56</v>
      </c>
      <c r="H658">
        <v>263.56</v>
      </c>
    </row>
    <row r="659" spans="1:8" x14ac:dyDescent="0.2">
      <c r="A659">
        <v>952</v>
      </c>
      <c r="B659">
        <v>39264</v>
      </c>
      <c r="C659" t="s">
        <v>1149</v>
      </c>
      <c r="D659">
        <v>0</v>
      </c>
      <c r="E659">
        <v>199.56</v>
      </c>
      <c r="F659">
        <v>200</v>
      </c>
      <c r="G659">
        <v>222.65</v>
      </c>
      <c r="H659">
        <v>222.65</v>
      </c>
    </row>
    <row r="660" spans="1:8" x14ac:dyDescent="0.2">
      <c r="A660">
        <v>952</v>
      </c>
      <c r="B660">
        <v>39265</v>
      </c>
      <c r="C660" t="s">
        <v>618</v>
      </c>
      <c r="D660">
        <v>0</v>
      </c>
      <c r="E660">
        <v>0</v>
      </c>
      <c r="F660">
        <v>0</v>
      </c>
      <c r="G660">
        <v>0</v>
      </c>
      <c r="H660">
        <v>0</v>
      </c>
    </row>
    <row r="661" spans="1:8" x14ac:dyDescent="0.2">
      <c r="A661">
        <v>952</v>
      </c>
      <c r="B661">
        <v>39280</v>
      </c>
      <c r="C661" t="s">
        <v>1099</v>
      </c>
      <c r="D661">
        <v>4846.58</v>
      </c>
      <c r="E661">
        <v>43469.25</v>
      </c>
      <c r="F661">
        <v>47061</v>
      </c>
      <c r="G661">
        <v>42618.83</v>
      </c>
      <c r="H661">
        <v>42618.83</v>
      </c>
    </row>
    <row r="662" spans="1:8" x14ac:dyDescent="0.2">
      <c r="A662">
        <v>952</v>
      </c>
      <c r="B662">
        <v>39281</v>
      </c>
      <c r="C662" t="s">
        <v>552</v>
      </c>
      <c r="D662">
        <v>0</v>
      </c>
      <c r="E662">
        <v>1699.86</v>
      </c>
      <c r="F662">
        <v>1000</v>
      </c>
      <c r="G662">
        <v>195.66</v>
      </c>
      <c r="H662">
        <v>195.66</v>
      </c>
    </row>
    <row r="663" spans="1:8" x14ac:dyDescent="0.2">
      <c r="A663">
        <v>952</v>
      </c>
      <c r="B663">
        <v>39282</v>
      </c>
      <c r="C663" t="s">
        <v>448</v>
      </c>
      <c r="D663">
        <v>664.93</v>
      </c>
      <c r="E663">
        <v>3160.59</v>
      </c>
      <c r="F663">
        <v>3500</v>
      </c>
      <c r="G663">
        <v>3124.58</v>
      </c>
      <c r="H663">
        <v>3124.58</v>
      </c>
    </row>
    <row r="664" spans="1:8" x14ac:dyDescent="0.2">
      <c r="A664">
        <v>952</v>
      </c>
      <c r="B664">
        <v>39283</v>
      </c>
      <c r="C664" t="s">
        <v>58</v>
      </c>
      <c r="D664">
        <v>0</v>
      </c>
      <c r="E664">
        <v>0</v>
      </c>
      <c r="F664">
        <v>0</v>
      </c>
      <c r="G664">
        <v>0</v>
      </c>
      <c r="H664">
        <v>0</v>
      </c>
    </row>
    <row r="665" spans="1:8" x14ac:dyDescent="0.2">
      <c r="A665">
        <v>952</v>
      </c>
      <c r="B665">
        <v>39284</v>
      </c>
      <c r="C665" t="s">
        <v>510</v>
      </c>
      <c r="D665">
        <v>1016</v>
      </c>
      <c r="E665">
        <v>8661.7800000000007</v>
      </c>
      <c r="F665">
        <v>7500</v>
      </c>
      <c r="G665">
        <v>7589.86</v>
      </c>
      <c r="H665">
        <v>7589.86</v>
      </c>
    </row>
    <row r="666" spans="1:8" x14ac:dyDescent="0.2">
      <c r="A666">
        <v>952</v>
      </c>
      <c r="B666">
        <v>39285</v>
      </c>
      <c r="C666" t="s">
        <v>589</v>
      </c>
      <c r="D666">
        <v>0</v>
      </c>
      <c r="E666">
        <v>0</v>
      </c>
      <c r="F666">
        <v>0</v>
      </c>
      <c r="G666">
        <v>0</v>
      </c>
      <c r="H666">
        <v>0</v>
      </c>
    </row>
    <row r="667" spans="1:8" x14ac:dyDescent="0.2">
      <c r="A667">
        <v>952</v>
      </c>
      <c r="B667">
        <v>39301</v>
      </c>
      <c r="C667" t="s">
        <v>493</v>
      </c>
      <c r="D667">
        <v>145.38</v>
      </c>
      <c r="E667">
        <v>904.77</v>
      </c>
      <c r="F667">
        <v>1100</v>
      </c>
      <c r="G667">
        <v>465.59</v>
      </c>
      <c r="H667">
        <v>465.59</v>
      </c>
    </row>
    <row r="668" spans="1:8" x14ac:dyDescent="0.2">
      <c r="A668">
        <v>952</v>
      </c>
      <c r="B668">
        <v>39302</v>
      </c>
      <c r="C668" t="s">
        <v>628</v>
      </c>
      <c r="D668">
        <v>425.03</v>
      </c>
      <c r="E668">
        <v>4576.62</v>
      </c>
      <c r="F668">
        <v>4500</v>
      </c>
      <c r="G668">
        <v>7825.85</v>
      </c>
      <c r="H668">
        <v>7825.85</v>
      </c>
    </row>
    <row r="669" spans="1:8" x14ac:dyDescent="0.2">
      <c r="A669">
        <v>952</v>
      </c>
      <c r="B669">
        <v>39303</v>
      </c>
      <c r="C669" t="s">
        <v>514</v>
      </c>
      <c r="D669">
        <v>0</v>
      </c>
      <c r="E669">
        <v>0</v>
      </c>
      <c r="F669">
        <v>0</v>
      </c>
      <c r="G669">
        <v>0</v>
      </c>
      <c r="H669">
        <v>0</v>
      </c>
    </row>
    <row r="670" spans="1:8" x14ac:dyDescent="0.2">
      <c r="A670">
        <v>952</v>
      </c>
      <c r="B670">
        <v>39304</v>
      </c>
      <c r="C670" t="s">
        <v>563</v>
      </c>
      <c r="D670">
        <v>0</v>
      </c>
      <c r="E670">
        <v>0</v>
      </c>
      <c r="F670">
        <v>0</v>
      </c>
      <c r="G670">
        <v>0</v>
      </c>
      <c r="H670">
        <v>0</v>
      </c>
    </row>
    <row r="671" spans="1:8" x14ac:dyDescent="0.2">
      <c r="A671">
        <v>952</v>
      </c>
      <c r="B671">
        <v>39305</v>
      </c>
      <c r="C671" t="s">
        <v>614</v>
      </c>
      <c r="D671">
        <v>0</v>
      </c>
      <c r="E671">
        <v>8504.7800000000007</v>
      </c>
      <c r="F671">
        <v>0</v>
      </c>
      <c r="G671">
        <v>12310.44</v>
      </c>
      <c r="H671">
        <v>12310.44</v>
      </c>
    </row>
    <row r="672" spans="1:8" x14ac:dyDescent="0.2">
      <c r="A672">
        <v>952</v>
      </c>
      <c r="B672">
        <v>39306</v>
      </c>
      <c r="C672" t="s">
        <v>565</v>
      </c>
      <c r="D672">
        <v>175</v>
      </c>
      <c r="E672">
        <v>816.62</v>
      </c>
      <c r="F672">
        <v>500</v>
      </c>
      <c r="G672">
        <v>149.78</v>
      </c>
      <c r="H672">
        <v>149.78</v>
      </c>
    </row>
    <row r="673" spans="1:8" x14ac:dyDescent="0.2">
      <c r="A673">
        <v>952</v>
      </c>
      <c r="B673">
        <v>39307</v>
      </c>
      <c r="C673" t="s">
        <v>485</v>
      </c>
      <c r="D673">
        <v>424.04</v>
      </c>
      <c r="E673">
        <v>2611.08</v>
      </c>
      <c r="F673">
        <v>2500</v>
      </c>
      <c r="G673">
        <v>1803.42</v>
      </c>
      <c r="H673">
        <v>1803.42</v>
      </c>
    </row>
    <row r="674" spans="1:8" x14ac:dyDescent="0.2">
      <c r="A674">
        <v>952</v>
      </c>
      <c r="B674">
        <v>39308</v>
      </c>
      <c r="C674" t="s">
        <v>538</v>
      </c>
      <c r="D674">
        <v>56.99</v>
      </c>
      <c r="E674">
        <v>3557.69</v>
      </c>
      <c r="F674">
        <v>1500</v>
      </c>
      <c r="G674">
        <v>1691.4</v>
      </c>
      <c r="H674">
        <v>1691.4</v>
      </c>
    </row>
    <row r="675" spans="1:8" x14ac:dyDescent="0.2">
      <c r="A675">
        <v>952</v>
      </c>
      <c r="B675">
        <v>39309</v>
      </c>
      <c r="C675" t="s">
        <v>814</v>
      </c>
      <c r="D675">
        <v>935.82</v>
      </c>
      <c r="E675">
        <v>7060.2</v>
      </c>
      <c r="F675">
        <v>6000</v>
      </c>
      <c r="G675">
        <v>6873.95</v>
      </c>
      <c r="H675">
        <v>6873.95</v>
      </c>
    </row>
    <row r="676" spans="1:8" x14ac:dyDescent="0.2">
      <c r="A676">
        <v>952</v>
      </c>
      <c r="B676">
        <v>39311</v>
      </c>
      <c r="C676" t="s">
        <v>566</v>
      </c>
      <c r="D676">
        <v>0</v>
      </c>
      <c r="E676">
        <v>0</v>
      </c>
      <c r="F676">
        <v>100</v>
      </c>
      <c r="G676">
        <v>0</v>
      </c>
      <c r="H676">
        <v>0</v>
      </c>
    </row>
    <row r="677" spans="1:8" x14ac:dyDescent="0.2">
      <c r="A677">
        <v>952</v>
      </c>
      <c r="B677">
        <v>39312</v>
      </c>
      <c r="C677" t="s">
        <v>1086</v>
      </c>
      <c r="D677">
        <v>0</v>
      </c>
      <c r="E677">
        <v>0</v>
      </c>
      <c r="F677">
        <v>0</v>
      </c>
      <c r="G677">
        <v>0</v>
      </c>
      <c r="H677">
        <v>0</v>
      </c>
    </row>
    <row r="678" spans="1:8" x14ac:dyDescent="0.2">
      <c r="A678">
        <v>952</v>
      </c>
      <c r="B678">
        <v>39313</v>
      </c>
      <c r="C678" t="s">
        <v>638</v>
      </c>
      <c r="D678">
        <v>164.61</v>
      </c>
      <c r="E678">
        <v>1711.25</v>
      </c>
      <c r="F678">
        <v>2500</v>
      </c>
      <c r="G678">
        <v>2239.29</v>
      </c>
      <c r="H678">
        <v>2239.29</v>
      </c>
    </row>
    <row r="679" spans="1:8" x14ac:dyDescent="0.2">
      <c r="A679">
        <v>952</v>
      </c>
      <c r="B679">
        <v>39314</v>
      </c>
      <c r="C679" t="s">
        <v>1100</v>
      </c>
      <c r="D679">
        <v>0</v>
      </c>
      <c r="E679">
        <v>415.66</v>
      </c>
      <c r="F679">
        <v>500</v>
      </c>
      <c r="G679">
        <v>259.99</v>
      </c>
      <c r="H679">
        <v>259.99</v>
      </c>
    </row>
    <row r="680" spans="1:8" x14ac:dyDescent="0.2">
      <c r="A680">
        <v>952</v>
      </c>
      <c r="B680">
        <v>39315</v>
      </c>
      <c r="C680" t="s">
        <v>1149</v>
      </c>
      <c r="D680">
        <v>0</v>
      </c>
      <c r="E680">
        <v>18.97</v>
      </c>
      <c r="F680">
        <v>200</v>
      </c>
      <c r="G680">
        <v>13.03</v>
      </c>
      <c r="H680">
        <v>13.03</v>
      </c>
    </row>
    <row r="681" spans="1:8" x14ac:dyDescent="0.2">
      <c r="A681">
        <v>952</v>
      </c>
      <c r="B681">
        <v>39330</v>
      </c>
      <c r="C681" t="s">
        <v>1101</v>
      </c>
      <c r="D681">
        <v>5001</v>
      </c>
      <c r="E681">
        <v>39231.49</v>
      </c>
      <c r="F681">
        <v>44658</v>
      </c>
      <c r="G681">
        <v>32212.93</v>
      </c>
      <c r="H681">
        <v>32212.93</v>
      </c>
    </row>
    <row r="682" spans="1:8" x14ac:dyDescent="0.2">
      <c r="A682">
        <v>952</v>
      </c>
      <c r="B682">
        <v>39331</v>
      </c>
      <c r="C682" t="s">
        <v>552</v>
      </c>
      <c r="D682">
        <v>0</v>
      </c>
      <c r="E682">
        <v>1477.32</v>
      </c>
      <c r="F682">
        <v>2000</v>
      </c>
      <c r="G682">
        <v>1659.2</v>
      </c>
      <c r="H682">
        <v>1659.2</v>
      </c>
    </row>
    <row r="683" spans="1:8" x14ac:dyDescent="0.2">
      <c r="A683">
        <v>952</v>
      </c>
      <c r="B683">
        <v>39332</v>
      </c>
      <c r="C683" t="s">
        <v>448</v>
      </c>
      <c r="D683">
        <v>1712.9</v>
      </c>
      <c r="E683">
        <v>3863.38</v>
      </c>
      <c r="F683">
        <v>2500</v>
      </c>
      <c r="G683">
        <v>1936.41</v>
      </c>
      <c r="H683">
        <v>1936.41</v>
      </c>
    </row>
    <row r="684" spans="1:8" x14ac:dyDescent="0.2">
      <c r="A684">
        <v>952</v>
      </c>
      <c r="B684">
        <v>39333</v>
      </c>
      <c r="C684" t="s">
        <v>1325</v>
      </c>
      <c r="D684">
        <v>0</v>
      </c>
      <c r="E684">
        <v>0</v>
      </c>
      <c r="F684">
        <v>800</v>
      </c>
      <c r="G684">
        <v>478.43</v>
      </c>
      <c r="H684">
        <v>478.43</v>
      </c>
    </row>
    <row r="685" spans="1:8" x14ac:dyDescent="0.2">
      <c r="A685">
        <v>952</v>
      </c>
      <c r="B685">
        <v>39334</v>
      </c>
      <c r="C685" t="s">
        <v>510</v>
      </c>
      <c r="D685">
        <v>1289.8800000000001</v>
      </c>
      <c r="E685">
        <v>12392.37</v>
      </c>
      <c r="F685">
        <v>10000</v>
      </c>
      <c r="G685">
        <v>9219.15</v>
      </c>
      <c r="H685">
        <v>9219.15</v>
      </c>
    </row>
    <row r="686" spans="1:8" x14ac:dyDescent="0.2">
      <c r="A686">
        <v>952</v>
      </c>
      <c r="B686">
        <v>39335</v>
      </c>
      <c r="C686" t="s">
        <v>589</v>
      </c>
      <c r="D686">
        <v>0</v>
      </c>
      <c r="E686">
        <v>0</v>
      </c>
      <c r="F686">
        <v>0</v>
      </c>
      <c r="G686">
        <v>0</v>
      </c>
      <c r="H686">
        <v>0</v>
      </c>
    </row>
    <row r="687" spans="1:8" x14ac:dyDescent="0.2">
      <c r="A687">
        <v>952</v>
      </c>
      <c r="B687">
        <v>39336</v>
      </c>
      <c r="C687" t="s">
        <v>1102</v>
      </c>
      <c r="D687">
        <v>0</v>
      </c>
      <c r="E687">
        <v>0</v>
      </c>
      <c r="F687">
        <v>0</v>
      </c>
      <c r="G687">
        <v>0</v>
      </c>
      <c r="H687">
        <v>0</v>
      </c>
    </row>
    <row r="688" spans="1:8" x14ac:dyDescent="0.2">
      <c r="A688">
        <v>952</v>
      </c>
      <c r="B688">
        <v>39337</v>
      </c>
      <c r="C688" t="s">
        <v>1326</v>
      </c>
      <c r="D688">
        <v>0</v>
      </c>
      <c r="E688">
        <v>360</v>
      </c>
      <c r="F688">
        <v>0</v>
      </c>
      <c r="G688">
        <v>0</v>
      </c>
      <c r="H688">
        <v>0</v>
      </c>
    </row>
    <row r="689" spans="1:8" x14ac:dyDescent="0.2">
      <c r="A689">
        <v>952</v>
      </c>
      <c r="B689">
        <v>39351</v>
      </c>
      <c r="C689" t="s">
        <v>493</v>
      </c>
      <c r="D689">
        <v>120.37</v>
      </c>
      <c r="E689">
        <v>391.37</v>
      </c>
      <c r="F689">
        <v>250</v>
      </c>
      <c r="G689">
        <v>788.16</v>
      </c>
      <c r="H689">
        <v>788.16</v>
      </c>
    </row>
    <row r="690" spans="1:8" x14ac:dyDescent="0.2">
      <c r="A690">
        <v>952</v>
      </c>
      <c r="B690">
        <v>39352</v>
      </c>
      <c r="C690" t="s">
        <v>628</v>
      </c>
      <c r="D690">
        <v>220.18</v>
      </c>
      <c r="E690">
        <v>3009.8</v>
      </c>
      <c r="F690">
        <v>3000</v>
      </c>
      <c r="G690">
        <v>6910.87</v>
      </c>
      <c r="H690">
        <v>6910.87</v>
      </c>
    </row>
    <row r="691" spans="1:8" x14ac:dyDescent="0.2">
      <c r="A691">
        <v>952</v>
      </c>
      <c r="B691">
        <v>39353</v>
      </c>
      <c r="C691" t="s">
        <v>514</v>
      </c>
      <c r="D691">
        <v>0</v>
      </c>
      <c r="E691">
        <v>0</v>
      </c>
      <c r="F691">
        <v>0</v>
      </c>
      <c r="G691">
        <v>0</v>
      </c>
      <c r="H691">
        <v>0</v>
      </c>
    </row>
    <row r="692" spans="1:8" x14ac:dyDescent="0.2">
      <c r="A692">
        <v>952</v>
      </c>
      <c r="B692">
        <v>39354</v>
      </c>
      <c r="C692" t="s">
        <v>563</v>
      </c>
      <c r="D692">
        <v>0</v>
      </c>
      <c r="E692">
        <v>100</v>
      </c>
      <c r="F692">
        <v>0</v>
      </c>
      <c r="G692">
        <v>0</v>
      </c>
      <c r="H692">
        <v>0</v>
      </c>
    </row>
    <row r="693" spans="1:8" x14ac:dyDescent="0.2">
      <c r="A693">
        <v>952</v>
      </c>
      <c r="B693">
        <v>39355</v>
      </c>
      <c r="C693" t="s">
        <v>614</v>
      </c>
      <c r="D693">
        <v>64.84</v>
      </c>
      <c r="E693">
        <v>97.28</v>
      </c>
      <c r="F693">
        <v>0</v>
      </c>
      <c r="G693">
        <v>1600.57</v>
      </c>
      <c r="H693">
        <v>1600.57</v>
      </c>
    </row>
    <row r="694" spans="1:8" x14ac:dyDescent="0.2">
      <c r="A694">
        <v>952</v>
      </c>
      <c r="B694">
        <v>39356</v>
      </c>
      <c r="C694" t="s">
        <v>565</v>
      </c>
      <c r="D694">
        <v>0</v>
      </c>
      <c r="E694">
        <v>238.12</v>
      </c>
      <c r="F694">
        <v>350</v>
      </c>
      <c r="G694">
        <v>212.78</v>
      </c>
      <c r="H694">
        <v>212.78</v>
      </c>
    </row>
    <row r="695" spans="1:8" x14ac:dyDescent="0.2">
      <c r="A695">
        <v>952</v>
      </c>
      <c r="B695">
        <v>39357</v>
      </c>
      <c r="C695" t="s">
        <v>485</v>
      </c>
      <c r="D695">
        <v>132.44999999999999</v>
      </c>
      <c r="E695">
        <v>1067.04</v>
      </c>
      <c r="F695">
        <v>1500</v>
      </c>
      <c r="G695">
        <v>891.71</v>
      </c>
      <c r="H695">
        <v>891.71</v>
      </c>
    </row>
    <row r="696" spans="1:8" x14ac:dyDescent="0.2">
      <c r="A696">
        <v>952</v>
      </c>
      <c r="B696">
        <v>39358</v>
      </c>
      <c r="C696" t="s">
        <v>538</v>
      </c>
      <c r="D696">
        <v>0</v>
      </c>
      <c r="E696">
        <v>1047.4000000000001</v>
      </c>
      <c r="F696">
        <v>1000</v>
      </c>
      <c r="G696">
        <v>1148.24</v>
      </c>
      <c r="H696">
        <v>1148.24</v>
      </c>
    </row>
    <row r="697" spans="1:8" x14ac:dyDescent="0.2">
      <c r="A697">
        <v>952</v>
      </c>
      <c r="B697">
        <v>39359</v>
      </c>
      <c r="C697" t="s">
        <v>814</v>
      </c>
      <c r="D697">
        <v>66.17</v>
      </c>
      <c r="E697">
        <v>3498.16</v>
      </c>
      <c r="F697">
        <v>3200</v>
      </c>
      <c r="G697">
        <v>2811.17</v>
      </c>
      <c r="H697">
        <v>2811.17</v>
      </c>
    </row>
    <row r="698" spans="1:8" x14ac:dyDescent="0.2">
      <c r="A698">
        <v>952</v>
      </c>
      <c r="B698">
        <v>39360</v>
      </c>
      <c r="C698" t="s">
        <v>551</v>
      </c>
      <c r="D698">
        <v>0</v>
      </c>
      <c r="E698">
        <v>164.32</v>
      </c>
      <c r="F698">
        <v>200</v>
      </c>
      <c r="G698">
        <v>202.2</v>
      </c>
      <c r="H698">
        <v>202.2</v>
      </c>
    </row>
    <row r="699" spans="1:8" x14ac:dyDescent="0.2">
      <c r="A699">
        <v>952</v>
      </c>
      <c r="B699">
        <v>39361</v>
      </c>
      <c r="C699" t="s">
        <v>566</v>
      </c>
      <c r="D699">
        <v>0</v>
      </c>
      <c r="E699">
        <v>0</v>
      </c>
      <c r="F699">
        <v>100</v>
      </c>
      <c r="G699">
        <v>0</v>
      </c>
      <c r="H699">
        <v>0</v>
      </c>
    </row>
    <row r="700" spans="1:8" x14ac:dyDescent="0.2">
      <c r="A700">
        <v>952</v>
      </c>
      <c r="B700">
        <v>39363</v>
      </c>
      <c r="C700" t="s">
        <v>617</v>
      </c>
      <c r="D700">
        <v>0</v>
      </c>
      <c r="E700">
        <v>1488.15</v>
      </c>
      <c r="F700">
        <v>1500</v>
      </c>
      <c r="G700">
        <v>1691.64</v>
      </c>
      <c r="H700">
        <v>1691.64</v>
      </c>
    </row>
    <row r="701" spans="1:8" x14ac:dyDescent="0.2">
      <c r="A701">
        <v>952</v>
      </c>
      <c r="B701">
        <v>39365</v>
      </c>
      <c r="C701" t="s">
        <v>1149</v>
      </c>
      <c r="D701">
        <v>0</v>
      </c>
      <c r="E701">
        <v>86.96</v>
      </c>
      <c r="F701">
        <v>200</v>
      </c>
      <c r="G701">
        <v>63.04</v>
      </c>
      <c r="H701">
        <v>63.04</v>
      </c>
    </row>
    <row r="702" spans="1:8" x14ac:dyDescent="0.2">
      <c r="A702">
        <v>952</v>
      </c>
      <c r="B702">
        <v>39380</v>
      </c>
      <c r="C702" t="s">
        <v>1103</v>
      </c>
      <c r="D702">
        <v>4240.93</v>
      </c>
      <c r="E702">
        <v>32722.86</v>
      </c>
      <c r="F702">
        <v>32198</v>
      </c>
      <c r="G702">
        <v>32061.69</v>
      </c>
      <c r="H702">
        <v>32061.69</v>
      </c>
    </row>
    <row r="703" spans="1:8" x14ac:dyDescent="0.2">
      <c r="A703">
        <v>952</v>
      </c>
      <c r="B703">
        <v>39381</v>
      </c>
      <c r="C703" t="s">
        <v>552</v>
      </c>
      <c r="D703">
        <v>0</v>
      </c>
      <c r="E703">
        <v>352.17</v>
      </c>
      <c r="F703">
        <v>1500</v>
      </c>
      <c r="G703">
        <v>1200.42</v>
      </c>
      <c r="H703">
        <v>1200.42</v>
      </c>
    </row>
    <row r="704" spans="1:8" x14ac:dyDescent="0.2">
      <c r="A704">
        <v>952</v>
      </c>
      <c r="B704">
        <v>39382</v>
      </c>
      <c r="C704" t="s">
        <v>448</v>
      </c>
      <c r="D704">
        <v>138.26</v>
      </c>
      <c r="E704">
        <v>1208.55</v>
      </c>
      <c r="F704">
        <v>1300</v>
      </c>
      <c r="G704">
        <v>1189.17</v>
      </c>
      <c r="H704">
        <v>1189.17</v>
      </c>
    </row>
    <row r="705" spans="1:8" x14ac:dyDescent="0.2">
      <c r="A705">
        <v>952</v>
      </c>
      <c r="B705">
        <v>39383</v>
      </c>
      <c r="C705" t="s">
        <v>58</v>
      </c>
      <c r="D705">
        <v>0</v>
      </c>
      <c r="E705">
        <v>0</v>
      </c>
      <c r="F705">
        <v>0</v>
      </c>
      <c r="G705">
        <v>0</v>
      </c>
      <c r="H705">
        <v>0</v>
      </c>
    </row>
    <row r="706" spans="1:8" x14ac:dyDescent="0.2">
      <c r="A706">
        <v>952</v>
      </c>
      <c r="B706">
        <v>39384</v>
      </c>
      <c r="C706" t="s">
        <v>510</v>
      </c>
      <c r="D706">
        <v>219.58</v>
      </c>
      <c r="E706">
        <v>2253.15</v>
      </c>
      <c r="F706">
        <v>2800</v>
      </c>
      <c r="G706">
        <v>2096.31</v>
      </c>
      <c r="H706">
        <v>2096.31</v>
      </c>
    </row>
    <row r="707" spans="1:8" x14ac:dyDescent="0.2">
      <c r="A707">
        <v>952</v>
      </c>
      <c r="B707">
        <v>39385</v>
      </c>
      <c r="C707" t="s">
        <v>589</v>
      </c>
      <c r="D707">
        <v>0</v>
      </c>
      <c r="E707">
        <v>0</v>
      </c>
      <c r="F707">
        <v>0</v>
      </c>
      <c r="G707">
        <v>0</v>
      </c>
      <c r="H707">
        <v>0</v>
      </c>
    </row>
    <row r="708" spans="1:8" x14ac:dyDescent="0.2">
      <c r="A708">
        <v>952</v>
      </c>
      <c r="B708">
        <v>39386</v>
      </c>
      <c r="C708" t="s">
        <v>882</v>
      </c>
      <c r="D708">
        <v>0</v>
      </c>
      <c r="E708">
        <v>0</v>
      </c>
      <c r="F708">
        <v>0</v>
      </c>
      <c r="G708">
        <v>39.130000000000003</v>
      </c>
      <c r="H708">
        <v>39.130000000000003</v>
      </c>
    </row>
    <row r="709" spans="1:8" x14ac:dyDescent="0.2">
      <c r="A709">
        <v>952</v>
      </c>
      <c r="B709">
        <v>39400</v>
      </c>
      <c r="C709" t="s">
        <v>493</v>
      </c>
      <c r="D709">
        <v>14.7</v>
      </c>
      <c r="E709">
        <v>323.45</v>
      </c>
      <c r="F709">
        <v>500</v>
      </c>
      <c r="G709">
        <v>514.77</v>
      </c>
      <c r="H709">
        <v>514.77</v>
      </c>
    </row>
    <row r="710" spans="1:8" x14ac:dyDescent="0.2">
      <c r="A710">
        <v>952</v>
      </c>
      <c r="B710">
        <v>39405</v>
      </c>
      <c r="C710" t="s">
        <v>628</v>
      </c>
      <c r="D710">
        <v>181.8</v>
      </c>
      <c r="E710">
        <v>2413.4499999999998</v>
      </c>
      <c r="F710">
        <v>2500</v>
      </c>
      <c r="G710">
        <v>6314.7</v>
      </c>
      <c r="H710">
        <v>6314.7</v>
      </c>
    </row>
    <row r="711" spans="1:8" x14ac:dyDescent="0.2">
      <c r="A711">
        <v>952</v>
      </c>
      <c r="B711">
        <v>39410</v>
      </c>
      <c r="C711" t="s">
        <v>514</v>
      </c>
      <c r="D711">
        <v>0</v>
      </c>
      <c r="E711">
        <v>0</v>
      </c>
      <c r="F711">
        <v>0</v>
      </c>
      <c r="G711">
        <v>0</v>
      </c>
      <c r="H711">
        <v>0</v>
      </c>
    </row>
    <row r="712" spans="1:8" x14ac:dyDescent="0.2">
      <c r="A712">
        <v>952</v>
      </c>
      <c r="B712">
        <v>39415</v>
      </c>
      <c r="C712" t="s">
        <v>563</v>
      </c>
      <c r="D712">
        <v>0</v>
      </c>
      <c r="E712">
        <v>0</v>
      </c>
      <c r="F712">
        <v>0</v>
      </c>
      <c r="G712">
        <v>0</v>
      </c>
      <c r="H712">
        <v>0</v>
      </c>
    </row>
    <row r="713" spans="1:8" x14ac:dyDescent="0.2">
      <c r="A713">
        <v>952</v>
      </c>
      <c r="B713">
        <v>39420</v>
      </c>
      <c r="C713" t="s">
        <v>879</v>
      </c>
      <c r="D713">
        <v>0</v>
      </c>
      <c r="E713">
        <v>1396.08</v>
      </c>
      <c r="F713">
        <v>0</v>
      </c>
      <c r="G713">
        <v>4182.79</v>
      </c>
      <c r="H713">
        <v>4182.79</v>
      </c>
    </row>
    <row r="714" spans="1:8" x14ac:dyDescent="0.2">
      <c r="A714">
        <v>952</v>
      </c>
      <c r="B714">
        <v>39425</v>
      </c>
      <c r="C714" t="s">
        <v>565</v>
      </c>
      <c r="D714">
        <v>0</v>
      </c>
      <c r="E714">
        <v>0</v>
      </c>
      <c r="F714">
        <v>500</v>
      </c>
      <c r="G714">
        <v>359.68</v>
      </c>
      <c r="H714">
        <v>359.68</v>
      </c>
    </row>
    <row r="715" spans="1:8" x14ac:dyDescent="0.2">
      <c r="A715">
        <v>952</v>
      </c>
      <c r="B715">
        <v>39430</v>
      </c>
      <c r="C715" t="s">
        <v>538</v>
      </c>
      <c r="D715">
        <v>0</v>
      </c>
      <c r="E715">
        <v>318.99</v>
      </c>
      <c r="F715">
        <v>500</v>
      </c>
      <c r="G715">
        <v>330.7</v>
      </c>
      <c r="H715">
        <v>330.7</v>
      </c>
    </row>
    <row r="716" spans="1:8" x14ac:dyDescent="0.2">
      <c r="A716">
        <v>952</v>
      </c>
      <c r="B716">
        <v>39435</v>
      </c>
      <c r="C716" t="s">
        <v>814</v>
      </c>
      <c r="D716">
        <v>0</v>
      </c>
      <c r="E716">
        <v>830.74</v>
      </c>
      <c r="F716">
        <v>1200</v>
      </c>
      <c r="G716">
        <v>1189.25</v>
      </c>
      <c r="H716">
        <v>1189.25</v>
      </c>
    </row>
    <row r="717" spans="1:8" x14ac:dyDescent="0.2">
      <c r="A717">
        <v>952</v>
      </c>
      <c r="B717">
        <v>39440</v>
      </c>
      <c r="C717" t="s">
        <v>551</v>
      </c>
      <c r="D717">
        <v>0</v>
      </c>
      <c r="E717">
        <v>60.15</v>
      </c>
      <c r="F717">
        <v>100</v>
      </c>
      <c r="G717">
        <v>110.91</v>
      </c>
      <c r="H717">
        <v>110.91</v>
      </c>
    </row>
    <row r="718" spans="1:8" x14ac:dyDescent="0.2">
      <c r="A718">
        <v>952</v>
      </c>
      <c r="B718">
        <v>39445</v>
      </c>
      <c r="C718" t="s">
        <v>485</v>
      </c>
      <c r="D718">
        <v>0</v>
      </c>
      <c r="E718">
        <v>0</v>
      </c>
      <c r="F718">
        <v>0</v>
      </c>
      <c r="G718">
        <v>0</v>
      </c>
      <c r="H718">
        <v>0</v>
      </c>
    </row>
    <row r="719" spans="1:8" x14ac:dyDescent="0.2">
      <c r="A719">
        <v>952</v>
      </c>
      <c r="B719">
        <v>39450</v>
      </c>
      <c r="C719" t="s">
        <v>566</v>
      </c>
      <c r="D719">
        <v>0</v>
      </c>
      <c r="E719">
        <v>0</v>
      </c>
      <c r="F719">
        <v>100</v>
      </c>
      <c r="G719">
        <v>0</v>
      </c>
      <c r="H719">
        <v>0</v>
      </c>
    </row>
    <row r="720" spans="1:8" x14ac:dyDescent="0.2">
      <c r="A720">
        <v>952</v>
      </c>
      <c r="B720">
        <v>39460</v>
      </c>
      <c r="C720" t="s">
        <v>1104</v>
      </c>
      <c r="D720">
        <v>94.33</v>
      </c>
      <c r="E720">
        <v>820.86</v>
      </c>
      <c r="F720">
        <v>800</v>
      </c>
      <c r="G720">
        <v>425.48</v>
      </c>
      <c r="H720">
        <v>425.48</v>
      </c>
    </row>
    <row r="721" spans="1:8" x14ac:dyDescent="0.2">
      <c r="A721">
        <v>952</v>
      </c>
      <c r="B721">
        <v>39465</v>
      </c>
      <c r="C721" t="s">
        <v>485</v>
      </c>
      <c r="D721">
        <v>208.19</v>
      </c>
      <c r="E721">
        <v>1363.5</v>
      </c>
      <c r="F721">
        <v>1500</v>
      </c>
      <c r="G721">
        <v>1107</v>
      </c>
      <c r="H721">
        <v>1107</v>
      </c>
    </row>
    <row r="722" spans="1:8" x14ac:dyDescent="0.2">
      <c r="A722">
        <v>952</v>
      </c>
      <c r="B722">
        <v>39470</v>
      </c>
      <c r="C722" t="s">
        <v>1149</v>
      </c>
      <c r="D722">
        <v>0</v>
      </c>
      <c r="E722">
        <v>79.12</v>
      </c>
      <c r="F722">
        <v>200</v>
      </c>
      <c r="G722">
        <v>176.46</v>
      </c>
      <c r="H722">
        <v>176.46</v>
      </c>
    </row>
    <row r="723" spans="1:8" x14ac:dyDescent="0.2">
      <c r="A723">
        <v>952</v>
      </c>
      <c r="B723">
        <v>39500</v>
      </c>
      <c r="C723" t="s">
        <v>506</v>
      </c>
      <c r="D723">
        <v>3436.87</v>
      </c>
      <c r="E723">
        <v>28169.99</v>
      </c>
      <c r="F723">
        <v>29752</v>
      </c>
      <c r="G723">
        <v>22362.62</v>
      </c>
      <c r="H723">
        <v>22362.62</v>
      </c>
    </row>
    <row r="724" spans="1:8" x14ac:dyDescent="0.2">
      <c r="A724">
        <v>952</v>
      </c>
      <c r="B724">
        <v>39505</v>
      </c>
      <c r="C724" t="s">
        <v>552</v>
      </c>
      <c r="D724">
        <v>403.73</v>
      </c>
      <c r="E724">
        <v>785.57</v>
      </c>
      <c r="F724">
        <v>700</v>
      </c>
      <c r="G724">
        <v>80</v>
      </c>
      <c r="H724">
        <v>80</v>
      </c>
    </row>
    <row r="725" spans="1:8" x14ac:dyDescent="0.2">
      <c r="A725">
        <v>952</v>
      </c>
      <c r="B725">
        <v>39510</v>
      </c>
      <c r="C725" t="s">
        <v>448</v>
      </c>
      <c r="D725">
        <v>1142.43</v>
      </c>
      <c r="E725">
        <v>7968.29</v>
      </c>
      <c r="F725">
        <v>5000</v>
      </c>
      <c r="G725">
        <v>5776.38</v>
      </c>
      <c r="H725">
        <v>5776.38</v>
      </c>
    </row>
    <row r="726" spans="1:8" x14ac:dyDescent="0.2">
      <c r="A726">
        <v>952</v>
      </c>
      <c r="B726">
        <v>39515</v>
      </c>
      <c r="C726" t="s">
        <v>58</v>
      </c>
      <c r="D726">
        <v>0</v>
      </c>
      <c r="E726">
        <v>0</v>
      </c>
      <c r="F726">
        <v>0</v>
      </c>
      <c r="G726">
        <v>0</v>
      </c>
      <c r="H726">
        <v>0</v>
      </c>
    </row>
    <row r="727" spans="1:8" x14ac:dyDescent="0.2">
      <c r="A727">
        <v>952</v>
      </c>
      <c r="B727">
        <v>39520</v>
      </c>
      <c r="C727" t="s">
        <v>510</v>
      </c>
      <c r="D727">
        <v>403.6</v>
      </c>
      <c r="E727">
        <v>3035.99</v>
      </c>
      <c r="F727">
        <v>3800</v>
      </c>
      <c r="G727">
        <v>3774.95</v>
      </c>
      <c r="H727">
        <v>3774.95</v>
      </c>
    </row>
    <row r="728" spans="1:8" x14ac:dyDescent="0.2">
      <c r="A728">
        <v>952</v>
      </c>
      <c r="B728">
        <v>39525</v>
      </c>
      <c r="C728" t="s">
        <v>589</v>
      </c>
      <c r="D728">
        <v>0</v>
      </c>
      <c r="E728">
        <v>0</v>
      </c>
      <c r="F728">
        <v>0</v>
      </c>
      <c r="G728">
        <v>0</v>
      </c>
      <c r="H728">
        <v>0</v>
      </c>
    </row>
    <row r="729" spans="1:8" x14ac:dyDescent="0.2">
      <c r="A729">
        <v>952</v>
      </c>
      <c r="B729">
        <v>3999</v>
      </c>
      <c r="C729" t="s">
        <v>277</v>
      </c>
      <c r="D729">
        <v>0</v>
      </c>
      <c r="E729">
        <v>0</v>
      </c>
      <c r="F729">
        <v>0</v>
      </c>
      <c r="G729">
        <v>0</v>
      </c>
      <c r="H729">
        <v>0</v>
      </c>
    </row>
    <row r="730" spans="1:8" x14ac:dyDescent="0.2">
      <c r="A730">
        <v>952</v>
      </c>
      <c r="B730">
        <v>46000</v>
      </c>
      <c r="C730" t="s">
        <v>1105</v>
      </c>
      <c r="D730">
        <v>2203</v>
      </c>
      <c r="E730">
        <v>26436</v>
      </c>
      <c r="F730">
        <v>27600</v>
      </c>
      <c r="G730">
        <v>25944</v>
      </c>
      <c r="H730">
        <v>25944</v>
      </c>
    </row>
    <row r="731" spans="1:8" x14ac:dyDescent="0.2">
      <c r="A731">
        <v>952</v>
      </c>
      <c r="B731">
        <v>46040</v>
      </c>
      <c r="C731" t="s">
        <v>850</v>
      </c>
      <c r="D731">
        <v>742</v>
      </c>
      <c r="E731">
        <v>9462</v>
      </c>
      <c r="F731">
        <v>8828</v>
      </c>
      <c r="G731">
        <v>8720</v>
      </c>
      <c r="H731">
        <v>8720</v>
      </c>
    </row>
    <row r="732" spans="1:8" x14ac:dyDescent="0.2">
      <c r="A732">
        <v>952</v>
      </c>
      <c r="B732">
        <v>46060</v>
      </c>
      <c r="C732" t="s">
        <v>192</v>
      </c>
      <c r="D732">
        <v>2312.4</v>
      </c>
      <c r="E732">
        <v>20728.689999999999</v>
      </c>
      <c r="F732">
        <v>28000</v>
      </c>
      <c r="G732">
        <v>24948.89</v>
      </c>
      <c r="H732">
        <v>24948.89</v>
      </c>
    </row>
    <row r="733" spans="1:8" x14ac:dyDescent="0.2">
      <c r="A733">
        <v>952</v>
      </c>
      <c r="B733">
        <v>46080</v>
      </c>
      <c r="C733" t="s">
        <v>193</v>
      </c>
      <c r="D733">
        <v>9166.7199999999993</v>
      </c>
      <c r="E733">
        <v>9241.7199999999993</v>
      </c>
      <c r="F733">
        <v>9300</v>
      </c>
      <c r="G733">
        <v>8040</v>
      </c>
      <c r="H733">
        <v>8040</v>
      </c>
    </row>
    <row r="734" spans="1:8" x14ac:dyDescent="0.2">
      <c r="A734">
        <v>952</v>
      </c>
      <c r="B734">
        <v>46100</v>
      </c>
      <c r="C734" t="s">
        <v>194</v>
      </c>
      <c r="D734">
        <v>0</v>
      </c>
      <c r="E734">
        <v>0</v>
      </c>
      <c r="F734">
        <v>0</v>
      </c>
      <c r="G734">
        <v>9823.98</v>
      </c>
      <c r="H734">
        <v>9823.98</v>
      </c>
    </row>
    <row r="735" spans="1:8" x14ac:dyDescent="0.2">
      <c r="A735">
        <v>952</v>
      </c>
      <c r="B735">
        <v>46160</v>
      </c>
      <c r="C735" t="s">
        <v>195</v>
      </c>
      <c r="D735">
        <v>0</v>
      </c>
      <c r="E735">
        <v>283.39</v>
      </c>
      <c r="F735">
        <v>500</v>
      </c>
      <c r="G735">
        <v>313.83</v>
      </c>
      <c r="H735">
        <v>313.83</v>
      </c>
    </row>
    <row r="736" spans="1:8" x14ac:dyDescent="0.2">
      <c r="A736">
        <v>952</v>
      </c>
      <c r="B736">
        <v>46180</v>
      </c>
      <c r="C736" t="s">
        <v>196</v>
      </c>
      <c r="D736">
        <v>0</v>
      </c>
      <c r="E736">
        <v>2473.92</v>
      </c>
      <c r="F736">
        <v>4000</v>
      </c>
      <c r="G736">
        <v>2886.53</v>
      </c>
      <c r="H736">
        <v>2886.53</v>
      </c>
    </row>
    <row r="737" spans="1:8" x14ac:dyDescent="0.2">
      <c r="A737">
        <v>952</v>
      </c>
      <c r="B737">
        <v>46190</v>
      </c>
      <c r="C737" t="s">
        <v>197</v>
      </c>
      <c r="D737">
        <v>2145.2399999999998</v>
      </c>
      <c r="E737">
        <v>24126.54</v>
      </c>
      <c r="F737">
        <v>26000</v>
      </c>
      <c r="G737">
        <v>21900.33</v>
      </c>
      <c r="H737">
        <v>21900.33</v>
      </c>
    </row>
    <row r="738" spans="1:8" x14ac:dyDescent="0.2">
      <c r="A738">
        <v>952</v>
      </c>
      <c r="B738">
        <v>46220</v>
      </c>
      <c r="C738" t="s">
        <v>536</v>
      </c>
      <c r="D738">
        <v>491.97</v>
      </c>
      <c r="E738">
        <v>2066.6799999999998</v>
      </c>
      <c r="F738">
        <v>2500</v>
      </c>
      <c r="G738">
        <v>2308.83</v>
      </c>
      <c r="H738">
        <v>2308.83</v>
      </c>
    </row>
    <row r="739" spans="1:8" x14ac:dyDescent="0.2">
      <c r="A739">
        <v>952</v>
      </c>
      <c r="B739">
        <v>46240</v>
      </c>
      <c r="C739" t="s">
        <v>493</v>
      </c>
      <c r="D739">
        <v>1031.6600000000001</v>
      </c>
      <c r="E739">
        <v>6299.37</v>
      </c>
      <c r="F739">
        <v>4600</v>
      </c>
      <c r="G739">
        <v>4689.1899999999996</v>
      </c>
      <c r="H739">
        <v>4689.1899999999996</v>
      </c>
    </row>
    <row r="740" spans="1:8" x14ac:dyDescent="0.2">
      <c r="A740">
        <v>952</v>
      </c>
      <c r="B740">
        <v>46260</v>
      </c>
      <c r="C740" t="s">
        <v>475</v>
      </c>
      <c r="D740">
        <v>720.65</v>
      </c>
      <c r="E740">
        <v>4822.8500000000004</v>
      </c>
      <c r="F740">
        <v>7000</v>
      </c>
      <c r="G740">
        <v>13952.87</v>
      </c>
      <c r="H740">
        <v>13952.87</v>
      </c>
    </row>
    <row r="741" spans="1:8" x14ac:dyDescent="0.2">
      <c r="A741">
        <v>952</v>
      </c>
      <c r="B741">
        <v>46300</v>
      </c>
      <c r="C741" t="s">
        <v>1106</v>
      </c>
      <c r="D741">
        <v>420</v>
      </c>
      <c r="E741">
        <v>1015.83</v>
      </c>
      <c r="F741">
        <v>2500</v>
      </c>
      <c r="G741">
        <v>1646.37</v>
      </c>
      <c r="H741">
        <v>1646.37</v>
      </c>
    </row>
    <row r="742" spans="1:8" x14ac:dyDescent="0.2">
      <c r="A742">
        <v>952</v>
      </c>
      <c r="B742">
        <v>46320</v>
      </c>
      <c r="C742" t="s">
        <v>1107</v>
      </c>
      <c r="D742">
        <v>909.24</v>
      </c>
      <c r="E742">
        <v>7065.06</v>
      </c>
      <c r="F742">
        <v>7000</v>
      </c>
      <c r="G742">
        <v>7963.1</v>
      </c>
      <c r="H742">
        <v>7963.1</v>
      </c>
    </row>
    <row r="743" spans="1:8" x14ac:dyDescent="0.2">
      <c r="A743">
        <v>952</v>
      </c>
      <c r="B743">
        <v>46360</v>
      </c>
      <c r="C743" t="s">
        <v>485</v>
      </c>
      <c r="D743">
        <v>347.75</v>
      </c>
      <c r="E743">
        <v>-2624.32</v>
      </c>
      <c r="F743">
        <v>3000</v>
      </c>
      <c r="G743">
        <v>-1381.31</v>
      </c>
      <c r="H743">
        <v>-1381.31</v>
      </c>
    </row>
    <row r="744" spans="1:8" x14ac:dyDescent="0.2">
      <c r="A744">
        <v>952</v>
      </c>
      <c r="B744">
        <v>46380</v>
      </c>
      <c r="C744" t="s">
        <v>1108</v>
      </c>
      <c r="D744">
        <v>0</v>
      </c>
      <c r="E744">
        <v>0</v>
      </c>
      <c r="F744">
        <v>350</v>
      </c>
      <c r="G744">
        <v>0</v>
      </c>
      <c r="H744">
        <v>0</v>
      </c>
    </row>
    <row r="745" spans="1:8" x14ac:dyDescent="0.2">
      <c r="A745">
        <v>952</v>
      </c>
      <c r="B745">
        <v>46400</v>
      </c>
      <c r="C745" t="s">
        <v>1109</v>
      </c>
      <c r="D745">
        <v>185.13</v>
      </c>
      <c r="E745">
        <v>3141.01</v>
      </c>
      <c r="F745">
        <v>4000</v>
      </c>
      <c r="G745">
        <v>3693.85</v>
      </c>
      <c r="H745">
        <v>3693.85</v>
      </c>
    </row>
    <row r="746" spans="1:8" x14ac:dyDescent="0.2">
      <c r="A746">
        <v>952</v>
      </c>
      <c r="B746">
        <v>46401</v>
      </c>
      <c r="C746" t="s">
        <v>551</v>
      </c>
      <c r="D746">
        <v>0</v>
      </c>
      <c r="E746">
        <v>487.7</v>
      </c>
      <c r="F746">
        <v>500</v>
      </c>
      <c r="G746">
        <v>334.86</v>
      </c>
      <c r="H746">
        <v>334.86</v>
      </c>
    </row>
    <row r="747" spans="1:8" x14ac:dyDescent="0.2">
      <c r="A747">
        <v>952</v>
      </c>
      <c r="B747">
        <v>46402</v>
      </c>
      <c r="C747" t="s">
        <v>474</v>
      </c>
      <c r="D747">
        <v>0</v>
      </c>
      <c r="E747">
        <v>0</v>
      </c>
      <c r="F747">
        <v>0</v>
      </c>
      <c r="G747">
        <v>0</v>
      </c>
      <c r="H747">
        <v>0</v>
      </c>
    </row>
    <row r="748" spans="1:8" x14ac:dyDescent="0.2">
      <c r="A748">
        <v>952</v>
      </c>
      <c r="B748">
        <v>46520</v>
      </c>
      <c r="C748" t="s">
        <v>1110</v>
      </c>
      <c r="D748">
        <v>0</v>
      </c>
      <c r="E748">
        <v>0</v>
      </c>
      <c r="F748">
        <v>100</v>
      </c>
      <c r="G748">
        <v>7.92</v>
      </c>
      <c r="H748">
        <v>7.92</v>
      </c>
    </row>
    <row r="749" spans="1:8" x14ac:dyDescent="0.2">
      <c r="A749">
        <v>952</v>
      </c>
      <c r="B749">
        <v>46560</v>
      </c>
      <c r="C749" t="s">
        <v>1107</v>
      </c>
      <c r="D749">
        <v>816.88</v>
      </c>
      <c r="E749">
        <v>816.88</v>
      </c>
      <c r="F749">
        <v>0</v>
      </c>
      <c r="G749">
        <v>0</v>
      </c>
      <c r="H749">
        <v>0</v>
      </c>
    </row>
    <row r="750" spans="1:8" x14ac:dyDescent="0.2">
      <c r="A750">
        <v>952</v>
      </c>
      <c r="B750">
        <v>46570</v>
      </c>
      <c r="C750" t="s">
        <v>1111</v>
      </c>
      <c r="D750">
        <v>0</v>
      </c>
      <c r="E750">
        <v>0</v>
      </c>
      <c r="F750">
        <v>0</v>
      </c>
      <c r="G750">
        <v>0</v>
      </c>
      <c r="H750">
        <v>0</v>
      </c>
    </row>
    <row r="751" spans="1:8" x14ac:dyDescent="0.2">
      <c r="A751">
        <v>952</v>
      </c>
      <c r="B751">
        <v>46575</v>
      </c>
      <c r="C751" t="s">
        <v>1112</v>
      </c>
      <c r="D751">
        <v>0</v>
      </c>
      <c r="E751">
        <v>0</v>
      </c>
      <c r="F751">
        <v>0</v>
      </c>
      <c r="G751">
        <v>0</v>
      </c>
      <c r="H751">
        <v>0</v>
      </c>
    </row>
    <row r="752" spans="1:8" x14ac:dyDescent="0.2">
      <c r="A752">
        <v>952</v>
      </c>
      <c r="B752">
        <v>46580</v>
      </c>
      <c r="C752" t="s">
        <v>1113</v>
      </c>
      <c r="D752">
        <v>0</v>
      </c>
      <c r="E752">
        <v>650</v>
      </c>
      <c r="F752">
        <v>650</v>
      </c>
      <c r="G752">
        <v>350</v>
      </c>
      <c r="H752">
        <v>350</v>
      </c>
    </row>
    <row r="753" spans="1:8" x14ac:dyDescent="0.2">
      <c r="A753">
        <v>952</v>
      </c>
      <c r="B753">
        <v>46640</v>
      </c>
      <c r="C753" t="s">
        <v>1114</v>
      </c>
      <c r="D753">
        <v>2921.01</v>
      </c>
      <c r="E753">
        <v>22719.4</v>
      </c>
      <c r="F753">
        <v>18500</v>
      </c>
      <c r="G753">
        <v>24711.8</v>
      </c>
      <c r="H753">
        <v>24711.8</v>
      </c>
    </row>
    <row r="754" spans="1:8" x14ac:dyDescent="0.2">
      <c r="A754">
        <v>952</v>
      </c>
      <c r="B754">
        <v>46644</v>
      </c>
      <c r="C754" t="s">
        <v>1115</v>
      </c>
      <c r="D754">
        <v>38959.980000000003</v>
      </c>
      <c r="E754">
        <v>334927.02</v>
      </c>
      <c r="F754">
        <v>322400</v>
      </c>
      <c r="G754">
        <v>227349.7</v>
      </c>
      <c r="H754">
        <v>227349.7</v>
      </c>
    </row>
    <row r="755" spans="1:8" x14ac:dyDescent="0.2">
      <c r="A755">
        <v>952</v>
      </c>
      <c r="B755">
        <v>46645</v>
      </c>
      <c r="C755" t="s">
        <v>1116</v>
      </c>
      <c r="D755">
        <v>0</v>
      </c>
      <c r="E755">
        <v>0</v>
      </c>
      <c r="F755">
        <v>3000</v>
      </c>
      <c r="G755">
        <v>436</v>
      </c>
      <c r="H755">
        <v>436</v>
      </c>
    </row>
    <row r="756" spans="1:8" x14ac:dyDescent="0.2">
      <c r="A756">
        <v>952</v>
      </c>
      <c r="B756">
        <v>46650</v>
      </c>
      <c r="C756" t="s">
        <v>1117</v>
      </c>
      <c r="D756">
        <v>0</v>
      </c>
      <c r="E756">
        <v>0</v>
      </c>
      <c r="F756">
        <v>0</v>
      </c>
      <c r="G756">
        <v>0</v>
      </c>
      <c r="H756">
        <v>0</v>
      </c>
    </row>
    <row r="757" spans="1:8" x14ac:dyDescent="0.2">
      <c r="A757">
        <v>952</v>
      </c>
      <c r="B757">
        <v>46655</v>
      </c>
      <c r="C757" t="s">
        <v>1327</v>
      </c>
      <c r="D757">
        <v>67.760000000000005</v>
      </c>
      <c r="E757">
        <v>35349.86</v>
      </c>
      <c r="F757">
        <v>35717</v>
      </c>
      <c r="G757">
        <v>2218.63</v>
      </c>
      <c r="H757">
        <v>2218.63</v>
      </c>
    </row>
    <row r="758" spans="1:8" x14ac:dyDescent="0.2">
      <c r="A758">
        <v>952</v>
      </c>
      <c r="B758">
        <v>46657</v>
      </c>
      <c r="C758" t="s">
        <v>1328</v>
      </c>
      <c r="D758">
        <v>0</v>
      </c>
      <c r="E758">
        <v>0</v>
      </c>
      <c r="F758">
        <v>24500</v>
      </c>
      <c r="G758">
        <v>21491.25</v>
      </c>
      <c r="H758">
        <v>21491.25</v>
      </c>
    </row>
    <row r="759" spans="1:8" x14ac:dyDescent="0.2">
      <c r="A759">
        <v>952</v>
      </c>
      <c r="B759">
        <v>46658</v>
      </c>
      <c r="C759" t="s">
        <v>1253</v>
      </c>
      <c r="D759">
        <v>704</v>
      </c>
      <c r="E759">
        <v>14523.46</v>
      </c>
      <c r="F759">
        <v>38150</v>
      </c>
      <c r="G759">
        <v>0</v>
      </c>
      <c r="H759">
        <v>0</v>
      </c>
    </row>
    <row r="760" spans="1:8" x14ac:dyDescent="0.2">
      <c r="A760">
        <v>952</v>
      </c>
      <c r="B760">
        <v>46660</v>
      </c>
      <c r="C760" t="s">
        <v>1118</v>
      </c>
      <c r="D760">
        <v>0</v>
      </c>
      <c r="E760">
        <v>1524.4</v>
      </c>
      <c r="F760">
        <v>0</v>
      </c>
      <c r="G760">
        <v>0</v>
      </c>
      <c r="H760">
        <v>0</v>
      </c>
    </row>
    <row r="761" spans="1:8" x14ac:dyDescent="0.2">
      <c r="A761">
        <v>952</v>
      </c>
      <c r="B761">
        <v>46665</v>
      </c>
      <c r="C761" t="s">
        <v>1119</v>
      </c>
      <c r="D761">
        <v>0</v>
      </c>
      <c r="E761">
        <v>1846.94</v>
      </c>
      <c r="F761">
        <v>1000</v>
      </c>
      <c r="G761">
        <v>0</v>
      </c>
      <c r="H761">
        <v>0</v>
      </c>
    </row>
    <row r="762" spans="1:8" x14ac:dyDescent="0.2">
      <c r="A762">
        <v>952</v>
      </c>
      <c r="B762">
        <v>46670</v>
      </c>
      <c r="C762" t="s">
        <v>1120</v>
      </c>
      <c r="D762">
        <v>571.52</v>
      </c>
      <c r="E762">
        <v>2328.84</v>
      </c>
      <c r="F762">
        <v>850</v>
      </c>
      <c r="G762">
        <v>1632.85</v>
      </c>
      <c r="H762">
        <v>1632.85</v>
      </c>
    </row>
    <row r="763" spans="1:8" x14ac:dyDescent="0.2">
      <c r="A763">
        <v>952</v>
      </c>
      <c r="B763">
        <v>46675</v>
      </c>
      <c r="C763" t="s">
        <v>1121</v>
      </c>
      <c r="D763">
        <v>33.03</v>
      </c>
      <c r="E763">
        <v>22831.75</v>
      </c>
      <c r="F763">
        <v>61000</v>
      </c>
      <c r="G763">
        <v>50884.65</v>
      </c>
      <c r="H763">
        <v>50884.65</v>
      </c>
    </row>
    <row r="764" spans="1:8" x14ac:dyDescent="0.2">
      <c r="A764">
        <v>952</v>
      </c>
      <c r="B764">
        <v>46680</v>
      </c>
      <c r="C764" t="s">
        <v>1122</v>
      </c>
      <c r="D764">
        <v>0</v>
      </c>
      <c r="E764">
        <v>0</v>
      </c>
      <c r="F764">
        <v>0</v>
      </c>
      <c r="G764">
        <v>0</v>
      </c>
      <c r="H764">
        <v>0</v>
      </c>
    </row>
    <row r="765" spans="1:8" x14ac:dyDescent="0.2">
      <c r="A765">
        <v>952</v>
      </c>
      <c r="B765">
        <v>46685</v>
      </c>
      <c r="C765" t="s">
        <v>1123</v>
      </c>
      <c r="D765">
        <v>74.87</v>
      </c>
      <c r="E765">
        <v>4439.76</v>
      </c>
      <c r="F765">
        <v>5000</v>
      </c>
      <c r="G765">
        <v>1768.64</v>
      </c>
      <c r="H765">
        <v>1768.64</v>
      </c>
    </row>
    <row r="766" spans="1:8" x14ac:dyDescent="0.2">
      <c r="A766">
        <v>952</v>
      </c>
      <c r="B766">
        <v>46690</v>
      </c>
      <c r="C766" t="s">
        <v>1329</v>
      </c>
      <c r="D766">
        <v>91.61</v>
      </c>
      <c r="E766">
        <v>8945.49</v>
      </c>
      <c r="F766">
        <v>5000</v>
      </c>
      <c r="G766">
        <v>2821.25</v>
      </c>
      <c r="H766">
        <v>2821.25</v>
      </c>
    </row>
    <row r="767" spans="1:8" x14ac:dyDescent="0.2">
      <c r="A767">
        <v>952</v>
      </c>
      <c r="B767">
        <v>46691</v>
      </c>
      <c r="C767" t="s">
        <v>1330</v>
      </c>
      <c r="D767">
        <v>0</v>
      </c>
      <c r="E767">
        <v>0</v>
      </c>
      <c r="F767">
        <v>0</v>
      </c>
      <c r="G767">
        <v>0</v>
      </c>
      <c r="H767">
        <v>0</v>
      </c>
    </row>
    <row r="768" spans="1:8" x14ac:dyDescent="0.2">
      <c r="A768">
        <v>952</v>
      </c>
      <c r="B768">
        <v>46760</v>
      </c>
      <c r="C768" t="s">
        <v>1124</v>
      </c>
      <c r="D768">
        <v>0</v>
      </c>
      <c r="E768">
        <v>1387.5</v>
      </c>
      <c r="F768">
        <v>1850</v>
      </c>
      <c r="G768">
        <v>1064</v>
      </c>
      <c r="H768">
        <v>1064</v>
      </c>
    </row>
    <row r="769" spans="1:8" x14ac:dyDescent="0.2">
      <c r="A769">
        <v>952</v>
      </c>
      <c r="B769">
        <v>46765</v>
      </c>
      <c r="C769" t="s">
        <v>813</v>
      </c>
      <c r="D769">
        <v>0</v>
      </c>
      <c r="E769">
        <v>404.54</v>
      </c>
      <c r="F769">
        <v>465</v>
      </c>
      <c r="G769">
        <v>198.63</v>
      </c>
      <c r="H769">
        <v>198.63</v>
      </c>
    </row>
    <row r="770" spans="1:8" x14ac:dyDescent="0.2">
      <c r="A770">
        <v>952</v>
      </c>
      <c r="B770">
        <v>46770</v>
      </c>
      <c r="C770" t="s">
        <v>510</v>
      </c>
      <c r="D770">
        <v>25.5</v>
      </c>
      <c r="E770">
        <v>147.07</v>
      </c>
      <c r="F770">
        <v>300</v>
      </c>
      <c r="G770">
        <v>113.98</v>
      </c>
      <c r="H770">
        <v>113.98</v>
      </c>
    </row>
    <row r="771" spans="1:8" x14ac:dyDescent="0.2">
      <c r="A771">
        <v>952</v>
      </c>
      <c r="B771">
        <v>46775</v>
      </c>
      <c r="C771" t="s">
        <v>1125</v>
      </c>
      <c r="D771">
        <v>21.46</v>
      </c>
      <c r="E771">
        <v>21.46</v>
      </c>
      <c r="F771">
        <v>250</v>
      </c>
      <c r="G771">
        <v>0</v>
      </c>
      <c r="H771">
        <v>0</v>
      </c>
    </row>
    <row r="772" spans="1:8" x14ac:dyDescent="0.2">
      <c r="A772">
        <v>952</v>
      </c>
      <c r="B772">
        <v>46780</v>
      </c>
      <c r="C772" t="s">
        <v>894</v>
      </c>
      <c r="D772">
        <v>0</v>
      </c>
      <c r="E772">
        <v>256.35000000000002</v>
      </c>
      <c r="F772">
        <v>250</v>
      </c>
      <c r="G772">
        <v>122.63</v>
      </c>
      <c r="H772">
        <v>122.63</v>
      </c>
    </row>
    <row r="773" spans="1:8" x14ac:dyDescent="0.2">
      <c r="A773">
        <v>952</v>
      </c>
      <c r="B773">
        <v>46785</v>
      </c>
      <c r="C773" t="s">
        <v>1156</v>
      </c>
      <c r="D773">
        <v>7458.05</v>
      </c>
      <c r="E773">
        <v>87479.71</v>
      </c>
      <c r="F773">
        <v>108500</v>
      </c>
      <c r="G773">
        <v>12644.78</v>
      </c>
      <c r="H773">
        <v>12644.78</v>
      </c>
    </row>
    <row r="774" spans="1:8" x14ac:dyDescent="0.2">
      <c r="A774">
        <v>952</v>
      </c>
      <c r="B774">
        <v>46786</v>
      </c>
      <c r="C774" t="s">
        <v>1331</v>
      </c>
      <c r="D774">
        <v>0</v>
      </c>
      <c r="E774">
        <v>0</v>
      </c>
      <c r="F774">
        <v>0</v>
      </c>
      <c r="G774">
        <v>0</v>
      </c>
      <c r="H774">
        <v>0</v>
      </c>
    </row>
    <row r="775" spans="1:8" x14ac:dyDescent="0.2">
      <c r="A775">
        <v>952</v>
      </c>
      <c r="B775">
        <v>46800</v>
      </c>
      <c r="C775" t="s">
        <v>1126</v>
      </c>
      <c r="D775">
        <v>0</v>
      </c>
      <c r="E775">
        <v>1932.93</v>
      </c>
      <c r="F775">
        <v>5335</v>
      </c>
      <c r="G775">
        <v>3634.95</v>
      </c>
      <c r="H775">
        <v>3634.95</v>
      </c>
    </row>
    <row r="776" spans="1:8" x14ac:dyDescent="0.2">
      <c r="A776">
        <v>952</v>
      </c>
      <c r="B776">
        <v>46820</v>
      </c>
      <c r="C776" t="s">
        <v>1127</v>
      </c>
      <c r="D776">
        <v>0</v>
      </c>
      <c r="E776">
        <v>571.84</v>
      </c>
      <c r="F776">
        <v>500</v>
      </c>
      <c r="G776">
        <v>0</v>
      </c>
      <c r="H776">
        <v>0</v>
      </c>
    </row>
    <row r="777" spans="1:8" x14ac:dyDescent="0.2">
      <c r="A777">
        <v>952</v>
      </c>
      <c r="B777">
        <v>46860</v>
      </c>
      <c r="C777" t="s">
        <v>1128</v>
      </c>
      <c r="D777">
        <v>20914.23</v>
      </c>
      <c r="E777">
        <v>219294.84</v>
      </c>
      <c r="F777">
        <v>247417</v>
      </c>
      <c r="G777">
        <v>214167.1</v>
      </c>
      <c r="H777">
        <v>214167.1</v>
      </c>
    </row>
    <row r="778" spans="1:8" x14ac:dyDescent="0.2">
      <c r="A778">
        <v>952</v>
      </c>
      <c r="B778">
        <v>46861</v>
      </c>
      <c r="C778" t="s">
        <v>1157</v>
      </c>
      <c r="D778">
        <v>0</v>
      </c>
      <c r="E778">
        <v>0</v>
      </c>
      <c r="F778">
        <v>0</v>
      </c>
      <c r="G778">
        <v>0</v>
      </c>
      <c r="H778">
        <v>0</v>
      </c>
    </row>
    <row r="779" spans="1:8" x14ac:dyDescent="0.2">
      <c r="A779">
        <v>952</v>
      </c>
      <c r="B779">
        <v>46880</v>
      </c>
      <c r="C779" t="s">
        <v>1129</v>
      </c>
      <c r="D779">
        <v>0</v>
      </c>
      <c r="E779">
        <v>2245.1</v>
      </c>
      <c r="F779">
        <v>3000</v>
      </c>
      <c r="G779">
        <v>1087.5899999999999</v>
      </c>
      <c r="H779">
        <v>1087.5899999999999</v>
      </c>
    </row>
    <row r="780" spans="1:8" x14ac:dyDescent="0.2">
      <c r="A780">
        <v>952</v>
      </c>
      <c r="B780">
        <v>46885</v>
      </c>
      <c r="C780" t="s">
        <v>1130</v>
      </c>
      <c r="D780">
        <v>0</v>
      </c>
      <c r="E780">
        <v>87844.41</v>
      </c>
      <c r="F780">
        <v>70000</v>
      </c>
      <c r="G780">
        <v>800.79</v>
      </c>
      <c r="H780">
        <v>800.79</v>
      </c>
    </row>
    <row r="781" spans="1:8" x14ac:dyDescent="0.2">
      <c r="A781">
        <v>952</v>
      </c>
      <c r="B781">
        <v>46886</v>
      </c>
      <c r="C781" t="s">
        <v>1131</v>
      </c>
      <c r="D781">
        <v>710</v>
      </c>
      <c r="E781">
        <v>3918</v>
      </c>
      <c r="F781">
        <v>4000</v>
      </c>
      <c r="G781">
        <v>3652.5</v>
      </c>
      <c r="H781">
        <v>3652.5</v>
      </c>
    </row>
    <row r="782" spans="1:8" x14ac:dyDescent="0.2">
      <c r="A782">
        <v>952</v>
      </c>
      <c r="B782">
        <v>46888</v>
      </c>
      <c r="C782" t="s">
        <v>1332</v>
      </c>
      <c r="D782">
        <v>8341.4599999999991</v>
      </c>
      <c r="E782">
        <v>77603.350000000006</v>
      </c>
      <c r="F782">
        <v>60000</v>
      </c>
      <c r="G782">
        <v>7799.42</v>
      </c>
      <c r="H782">
        <v>7799.42</v>
      </c>
    </row>
    <row r="783" spans="1:8" x14ac:dyDescent="0.2">
      <c r="A783">
        <v>952</v>
      </c>
      <c r="B783">
        <v>46889</v>
      </c>
      <c r="C783" t="s">
        <v>1333</v>
      </c>
      <c r="D783">
        <v>0</v>
      </c>
      <c r="E783">
        <v>0</v>
      </c>
      <c r="F783">
        <v>0</v>
      </c>
      <c r="G783">
        <v>0</v>
      </c>
      <c r="H783">
        <v>0</v>
      </c>
    </row>
    <row r="784" spans="1:8" x14ac:dyDescent="0.2">
      <c r="A784">
        <v>952</v>
      </c>
      <c r="B784">
        <v>46890</v>
      </c>
      <c r="C784" t="s">
        <v>1334</v>
      </c>
      <c r="D784">
        <v>0</v>
      </c>
      <c r="E784">
        <v>0</v>
      </c>
      <c r="F784">
        <v>0</v>
      </c>
      <c r="G784">
        <v>0</v>
      </c>
      <c r="H784">
        <v>0</v>
      </c>
    </row>
    <row r="785" spans="1:8" x14ac:dyDescent="0.2">
      <c r="A785">
        <v>952</v>
      </c>
      <c r="B785">
        <v>46891</v>
      </c>
      <c r="C785" t="s">
        <v>1335</v>
      </c>
      <c r="D785">
        <v>0</v>
      </c>
      <c r="E785">
        <v>0</v>
      </c>
      <c r="F785">
        <v>0</v>
      </c>
      <c r="G785">
        <v>0</v>
      </c>
      <c r="H785">
        <v>0</v>
      </c>
    </row>
    <row r="786" spans="1:8" x14ac:dyDescent="0.2">
      <c r="A786">
        <v>952</v>
      </c>
      <c r="B786">
        <v>46892</v>
      </c>
      <c r="C786" t="s">
        <v>1336</v>
      </c>
      <c r="D786">
        <v>0</v>
      </c>
      <c r="E786">
        <v>0</v>
      </c>
      <c r="F786">
        <v>0</v>
      </c>
      <c r="G786">
        <v>0</v>
      </c>
      <c r="H786">
        <v>0</v>
      </c>
    </row>
    <row r="787" spans="1:8" x14ac:dyDescent="0.2">
      <c r="A787">
        <v>952</v>
      </c>
      <c r="B787">
        <v>46893</v>
      </c>
      <c r="C787" t="s">
        <v>1337</v>
      </c>
      <c r="D787">
        <v>0</v>
      </c>
      <c r="E787">
        <v>0</v>
      </c>
      <c r="F787">
        <v>0</v>
      </c>
      <c r="G787">
        <v>0</v>
      </c>
      <c r="H787">
        <v>0</v>
      </c>
    </row>
    <row r="788" spans="1:8" x14ac:dyDescent="0.2">
      <c r="A788">
        <v>952</v>
      </c>
      <c r="B788">
        <v>46894</v>
      </c>
      <c r="C788" t="s">
        <v>1338</v>
      </c>
      <c r="D788">
        <v>0</v>
      </c>
      <c r="E788">
        <v>0</v>
      </c>
      <c r="F788">
        <v>0</v>
      </c>
      <c r="G788">
        <v>0</v>
      </c>
      <c r="H788">
        <v>0</v>
      </c>
    </row>
    <row r="789" spans="1:8" x14ac:dyDescent="0.2">
      <c r="A789">
        <v>952</v>
      </c>
      <c r="B789">
        <v>46895</v>
      </c>
      <c r="C789" t="s">
        <v>1339</v>
      </c>
      <c r="D789">
        <v>0</v>
      </c>
      <c r="E789">
        <v>0</v>
      </c>
      <c r="F789">
        <v>0</v>
      </c>
      <c r="G789">
        <v>0</v>
      </c>
      <c r="H789">
        <v>0</v>
      </c>
    </row>
    <row r="790" spans="1:8" x14ac:dyDescent="0.2">
      <c r="A790">
        <v>952</v>
      </c>
      <c r="B790">
        <v>46896</v>
      </c>
      <c r="C790" t="s">
        <v>1340</v>
      </c>
      <c r="D790">
        <v>0</v>
      </c>
      <c r="E790">
        <v>0</v>
      </c>
      <c r="F790">
        <v>0</v>
      </c>
      <c r="G790">
        <v>0</v>
      </c>
      <c r="H790">
        <v>0</v>
      </c>
    </row>
    <row r="791" spans="1:8" x14ac:dyDescent="0.2">
      <c r="A791">
        <v>952</v>
      </c>
      <c r="B791">
        <v>46950</v>
      </c>
      <c r="C791" t="s">
        <v>1132</v>
      </c>
      <c r="D791">
        <v>0</v>
      </c>
      <c r="E791">
        <v>0</v>
      </c>
      <c r="F791">
        <v>450</v>
      </c>
      <c r="G791">
        <v>0</v>
      </c>
      <c r="H791">
        <v>0</v>
      </c>
    </row>
    <row r="792" spans="1:8" x14ac:dyDescent="0.2">
      <c r="A792">
        <v>952</v>
      </c>
      <c r="B792">
        <v>57000</v>
      </c>
      <c r="C792" t="s">
        <v>1133</v>
      </c>
      <c r="D792">
        <v>191.82</v>
      </c>
      <c r="E792">
        <v>5721.84</v>
      </c>
      <c r="F792">
        <v>13500</v>
      </c>
      <c r="G792">
        <v>11628.85</v>
      </c>
      <c r="H792">
        <v>11628.85</v>
      </c>
    </row>
    <row r="793" spans="1:8" x14ac:dyDescent="0.2">
      <c r="A793">
        <v>952</v>
      </c>
      <c r="B793">
        <v>57120</v>
      </c>
      <c r="C793" t="s">
        <v>1341</v>
      </c>
      <c r="D793">
        <v>1981.55</v>
      </c>
      <c r="E793">
        <v>12981.99</v>
      </c>
      <c r="F793">
        <v>11000</v>
      </c>
      <c r="G793">
        <v>11156.81</v>
      </c>
      <c r="H793">
        <v>11156.81</v>
      </c>
    </row>
    <row r="794" spans="1:8" x14ac:dyDescent="0.2">
      <c r="A794">
        <v>952</v>
      </c>
      <c r="B794">
        <v>57130</v>
      </c>
      <c r="C794" t="s">
        <v>1134</v>
      </c>
      <c r="D794">
        <v>0</v>
      </c>
      <c r="E794">
        <v>0</v>
      </c>
      <c r="F794">
        <v>0</v>
      </c>
      <c r="G794">
        <v>0</v>
      </c>
      <c r="H794">
        <v>0</v>
      </c>
    </row>
    <row r="795" spans="1:8" x14ac:dyDescent="0.2">
      <c r="A795">
        <v>952</v>
      </c>
      <c r="B795">
        <v>57140</v>
      </c>
      <c r="C795" t="s">
        <v>662</v>
      </c>
      <c r="D795">
        <v>0</v>
      </c>
      <c r="E795">
        <v>0</v>
      </c>
      <c r="F795">
        <v>0</v>
      </c>
      <c r="G795">
        <v>0</v>
      </c>
      <c r="H795">
        <v>0</v>
      </c>
    </row>
    <row r="796" spans="1:8" x14ac:dyDescent="0.2">
      <c r="A796">
        <v>952</v>
      </c>
      <c r="B796">
        <v>57200</v>
      </c>
      <c r="C796" t="s">
        <v>663</v>
      </c>
      <c r="D796">
        <v>29.35</v>
      </c>
      <c r="E796">
        <v>10485.34</v>
      </c>
      <c r="F796">
        <v>12000</v>
      </c>
      <c r="G796">
        <v>8614.42</v>
      </c>
      <c r="H796">
        <v>8614.42</v>
      </c>
    </row>
    <row r="797" spans="1:8" x14ac:dyDescent="0.2">
      <c r="A797">
        <v>952</v>
      </c>
      <c r="B797">
        <v>57260</v>
      </c>
      <c r="C797" t="s">
        <v>664</v>
      </c>
      <c r="D797">
        <v>633.64</v>
      </c>
      <c r="E797">
        <v>7536.27</v>
      </c>
      <c r="F797">
        <v>8000</v>
      </c>
      <c r="G797">
        <v>10322.219999999999</v>
      </c>
      <c r="H797">
        <v>10322.219999999999</v>
      </c>
    </row>
    <row r="798" spans="1:8" x14ac:dyDescent="0.2">
      <c r="A798">
        <v>952</v>
      </c>
      <c r="B798">
        <v>57270</v>
      </c>
      <c r="C798" t="s">
        <v>510</v>
      </c>
      <c r="D798">
        <v>362.85</v>
      </c>
      <c r="E798">
        <v>2572.08</v>
      </c>
      <c r="F798">
        <v>2200</v>
      </c>
      <c r="G798">
        <v>2074.54</v>
      </c>
      <c r="H798">
        <v>2074.54</v>
      </c>
    </row>
    <row r="799" spans="1:8" x14ac:dyDescent="0.2">
      <c r="A799">
        <v>952</v>
      </c>
      <c r="B799">
        <v>57299</v>
      </c>
      <c r="C799" t="s">
        <v>665</v>
      </c>
      <c r="D799">
        <v>0</v>
      </c>
      <c r="E799">
        <v>1854.1</v>
      </c>
      <c r="F799">
        <v>3500</v>
      </c>
      <c r="G799">
        <v>2962.76</v>
      </c>
      <c r="H799">
        <v>2962.76</v>
      </c>
    </row>
    <row r="800" spans="1:8" x14ac:dyDescent="0.2">
      <c r="A800">
        <v>952</v>
      </c>
      <c r="B800">
        <v>57320</v>
      </c>
      <c r="C800" t="s">
        <v>666</v>
      </c>
      <c r="D800">
        <v>3679.85</v>
      </c>
      <c r="E800">
        <v>54732.42</v>
      </c>
      <c r="F800">
        <v>52000</v>
      </c>
      <c r="G800">
        <v>36444.660000000003</v>
      </c>
      <c r="H800">
        <v>36444.660000000003</v>
      </c>
    </row>
    <row r="801" spans="1:8" x14ac:dyDescent="0.2">
      <c r="A801">
        <v>952</v>
      </c>
      <c r="B801">
        <v>57340</v>
      </c>
      <c r="C801" t="s">
        <v>667</v>
      </c>
      <c r="D801">
        <v>8098.21</v>
      </c>
      <c r="E801">
        <v>80925.149999999994</v>
      </c>
      <c r="F801">
        <v>85000</v>
      </c>
      <c r="G801">
        <v>67858.92</v>
      </c>
      <c r="H801">
        <v>67858.92</v>
      </c>
    </row>
    <row r="802" spans="1:8" x14ac:dyDescent="0.2">
      <c r="A802">
        <v>952</v>
      </c>
      <c r="B802">
        <v>57360</v>
      </c>
      <c r="C802" t="s">
        <v>668</v>
      </c>
      <c r="D802">
        <v>3932.18</v>
      </c>
      <c r="E802">
        <v>40437.9</v>
      </c>
      <c r="F802">
        <v>50000</v>
      </c>
      <c r="G802">
        <v>37410.07</v>
      </c>
      <c r="H802">
        <v>37410.07</v>
      </c>
    </row>
    <row r="803" spans="1:8" x14ac:dyDescent="0.2">
      <c r="A803">
        <v>952</v>
      </c>
      <c r="B803">
        <v>57420</v>
      </c>
      <c r="C803" t="s">
        <v>669</v>
      </c>
      <c r="D803">
        <v>26795.18</v>
      </c>
      <c r="E803">
        <v>197939.55</v>
      </c>
      <c r="F803">
        <v>199356</v>
      </c>
      <c r="G803">
        <v>190696.26</v>
      </c>
      <c r="H803">
        <v>190696.26</v>
      </c>
    </row>
    <row r="804" spans="1:8" x14ac:dyDescent="0.2">
      <c r="A804">
        <v>952</v>
      </c>
      <c r="B804">
        <v>57485</v>
      </c>
      <c r="C804" t="s">
        <v>670</v>
      </c>
      <c r="D804">
        <v>0</v>
      </c>
      <c r="E804">
        <v>1060</v>
      </c>
      <c r="F804">
        <v>750</v>
      </c>
      <c r="G804">
        <v>538</v>
      </c>
      <c r="H804">
        <v>538</v>
      </c>
    </row>
    <row r="805" spans="1:8" x14ac:dyDescent="0.2">
      <c r="A805">
        <v>952</v>
      </c>
      <c r="B805">
        <v>57487</v>
      </c>
      <c r="C805" t="s">
        <v>671</v>
      </c>
      <c r="D805">
        <v>0</v>
      </c>
      <c r="E805">
        <v>0</v>
      </c>
      <c r="F805">
        <v>400</v>
      </c>
      <c r="G805">
        <v>59.91</v>
      </c>
      <c r="H805">
        <v>59.91</v>
      </c>
    </row>
    <row r="806" spans="1:8" x14ac:dyDescent="0.2">
      <c r="A806">
        <v>952</v>
      </c>
      <c r="B806">
        <v>57600</v>
      </c>
      <c r="C806" t="s">
        <v>672</v>
      </c>
      <c r="D806">
        <v>0</v>
      </c>
      <c r="E806">
        <v>8508.0499999999993</v>
      </c>
      <c r="F806">
        <v>17000</v>
      </c>
      <c r="G806">
        <v>5707.49</v>
      </c>
      <c r="H806">
        <v>5707.49</v>
      </c>
    </row>
    <row r="807" spans="1:8" x14ac:dyDescent="0.2">
      <c r="A807">
        <v>952</v>
      </c>
      <c r="B807">
        <v>57605</v>
      </c>
      <c r="C807" t="s">
        <v>198</v>
      </c>
      <c r="D807">
        <v>887.53</v>
      </c>
      <c r="E807">
        <v>10763.98</v>
      </c>
      <c r="F807">
        <v>8000</v>
      </c>
      <c r="G807">
        <v>9284.08</v>
      </c>
      <c r="H807">
        <v>9284.08</v>
      </c>
    </row>
    <row r="808" spans="1:8" x14ac:dyDescent="0.2">
      <c r="A808">
        <v>952</v>
      </c>
      <c r="B808">
        <v>57610</v>
      </c>
      <c r="C808" t="s">
        <v>470</v>
      </c>
      <c r="D808">
        <v>-12006.64</v>
      </c>
      <c r="E808">
        <v>12115</v>
      </c>
      <c r="F808">
        <v>15811</v>
      </c>
      <c r="G808">
        <v>22811</v>
      </c>
      <c r="H808">
        <v>22811</v>
      </c>
    </row>
    <row r="809" spans="1:8" x14ac:dyDescent="0.2">
      <c r="A809">
        <v>952</v>
      </c>
      <c r="B809">
        <v>57620</v>
      </c>
      <c r="C809" t="s">
        <v>673</v>
      </c>
      <c r="D809">
        <v>0</v>
      </c>
      <c r="E809">
        <v>0</v>
      </c>
      <c r="F809">
        <v>0</v>
      </c>
      <c r="G809">
        <v>0</v>
      </c>
      <c r="H809">
        <v>0</v>
      </c>
    </row>
    <row r="810" spans="1:8" x14ac:dyDescent="0.2">
      <c r="A810">
        <v>952</v>
      </c>
      <c r="B810">
        <v>57630</v>
      </c>
      <c r="C810" t="s">
        <v>814</v>
      </c>
      <c r="D810">
        <v>0</v>
      </c>
      <c r="E810">
        <v>6516.12</v>
      </c>
      <c r="F810">
        <v>3500</v>
      </c>
      <c r="G810">
        <v>3515.86</v>
      </c>
      <c r="H810">
        <v>3515.86</v>
      </c>
    </row>
    <row r="811" spans="1:8" x14ac:dyDescent="0.2">
      <c r="A811">
        <v>952</v>
      </c>
      <c r="B811">
        <v>57660</v>
      </c>
      <c r="C811" t="s">
        <v>674</v>
      </c>
      <c r="D811">
        <v>16626.25</v>
      </c>
      <c r="E811">
        <v>44081.7</v>
      </c>
      <c r="F811">
        <v>32500</v>
      </c>
      <c r="G811">
        <v>37154.11</v>
      </c>
      <c r="H811">
        <v>37154.11</v>
      </c>
    </row>
    <row r="812" spans="1:8" x14ac:dyDescent="0.2">
      <c r="A812">
        <v>952</v>
      </c>
      <c r="B812">
        <v>57665</v>
      </c>
      <c r="C812" t="s">
        <v>1254</v>
      </c>
      <c r="D812">
        <v>400</v>
      </c>
      <c r="E812">
        <v>400</v>
      </c>
      <c r="F812">
        <v>2827</v>
      </c>
      <c r="G812">
        <v>0</v>
      </c>
      <c r="H812">
        <v>0</v>
      </c>
    </row>
    <row r="813" spans="1:8" x14ac:dyDescent="0.2">
      <c r="A813">
        <v>952</v>
      </c>
      <c r="B813">
        <v>57690</v>
      </c>
      <c r="C813" t="s">
        <v>1158</v>
      </c>
      <c r="D813">
        <v>0</v>
      </c>
      <c r="E813">
        <v>2493.14</v>
      </c>
      <c r="F813">
        <v>2493</v>
      </c>
      <c r="G813">
        <v>1891.12</v>
      </c>
      <c r="H813">
        <v>1891.12</v>
      </c>
    </row>
    <row r="814" spans="1:8" x14ac:dyDescent="0.2">
      <c r="A814">
        <v>952</v>
      </c>
      <c r="B814">
        <v>57710</v>
      </c>
      <c r="C814" t="s">
        <v>675</v>
      </c>
      <c r="D814">
        <v>43.35</v>
      </c>
      <c r="E814">
        <v>2985.4</v>
      </c>
      <c r="F814">
        <v>2000</v>
      </c>
      <c r="G814">
        <v>1386.07</v>
      </c>
      <c r="H814">
        <v>1386.07</v>
      </c>
    </row>
    <row r="815" spans="1:8" x14ac:dyDescent="0.2">
      <c r="A815">
        <v>952</v>
      </c>
      <c r="B815">
        <v>57740</v>
      </c>
      <c r="C815" t="s">
        <v>1050</v>
      </c>
      <c r="D815">
        <v>702</v>
      </c>
      <c r="E815">
        <v>11271.39</v>
      </c>
      <c r="F815">
        <v>8000</v>
      </c>
      <c r="G815">
        <v>7979</v>
      </c>
      <c r="H815">
        <v>7979</v>
      </c>
    </row>
    <row r="816" spans="1:8" x14ac:dyDescent="0.2">
      <c r="A816">
        <v>952</v>
      </c>
      <c r="B816">
        <v>57760</v>
      </c>
      <c r="C816" t="s">
        <v>676</v>
      </c>
      <c r="D816">
        <v>0</v>
      </c>
      <c r="E816">
        <v>0</v>
      </c>
      <c r="F816">
        <v>0</v>
      </c>
      <c r="G816">
        <v>0</v>
      </c>
      <c r="H816">
        <v>0</v>
      </c>
    </row>
    <row r="817" spans="1:8" x14ac:dyDescent="0.2">
      <c r="A817">
        <v>952</v>
      </c>
      <c r="B817">
        <v>57850</v>
      </c>
      <c r="C817" t="s">
        <v>677</v>
      </c>
      <c r="D817">
        <v>0</v>
      </c>
      <c r="E817">
        <v>0</v>
      </c>
      <c r="F817">
        <v>0</v>
      </c>
      <c r="G817">
        <v>0</v>
      </c>
      <c r="H817">
        <v>0</v>
      </c>
    </row>
    <row r="818" spans="1:8" x14ac:dyDescent="0.2">
      <c r="A818">
        <v>952</v>
      </c>
      <c r="B818">
        <v>58000</v>
      </c>
      <c r="C818" t="s">
        <v>533</v>
      </c>
      <c r="D818">
        <v>490.17</v>
      </c>
      <c r="E818">
        <v>3588.8</v>
      </c>
      <c r="F818">
        <v>2500</v>
      </c>
      <c r="G818">
        <v>3215.6</v>
      </c>
      <c r="H818">
        <v>3215.6</v>
      </c>
    </row>
    <row r="819" spans="1:8" x14ac:dyDescent="0.2">
      <c r="A819">
        <v>952</v>
      </c>
      <c r="B819">
        <v>58020</v>
      </c>
      <c r="C819" t="s">
        <v>1038</v>
      </c>
      <c r="D819">
        <v>0</v>
      </c>
      <c r="E819">
        <v>11731.94</v>
      </c>
      <c r="F819">
        <v>8000</v>
      </c>
      <c r="G819">
        <v>7441.38</v>
      </c>
      <c r="H819">
        <v>7441.38</v>
      </c>
    </row>
    <row r="820" spans="1:8" x14ac:dyDescent="0.2">
      <c r="A820">
        <v>952</v>
      </c>
      <c r="B820">
        <v>60000</v>
      </c>
      <c r="C820" t="s">
        <v>678</v>
      </c>
      <c r="D820">
        <v>46148.3</v>
      </c>
      <c r="E820">
        <v>611166.43000000005</v>
      </c>
      <c r="F820">
        <v>941947</v>
      </c>
      <c r="G820">
        <v>582916.18999999994</v>
      </c>
      <c r="H820">
        <v>582916.18999999994</v>
      </c>
    </row>
    <row r="821" spans="1:8" x14ac:dyDescent="0.2">
      <c r="A821">
        <v>952</v>
      </c>
      <c r="B821">
        <v>60100</v>
      </c>
      <c r="C821" t="s">
        <v>679</v>
      </c>
      <c r="D821">
        <v>0</v>
      </c>
      <c r="E821">
        <v>0</v>
      </c>
      <c r="F821">
        <v>0</v>
      </c>
      <c r="G821">
        <v>0</v>
      </c>
      <c r="H821">
        <v>0</v>
      </c>
    </row>
    <row r="822" spans="1:8" x14ac:dyDescent="0.2">
      <c r="A822">
        <v>952</v>
      </c>
      <c r="B822">
        <v>60200</v>
      </c>
      <c r="C822" t="s">
        <v>199</v>
      </c>
      <c r="D822">
        <v>1080.1400000000001</v>
      </c>
      <c r="E822">
        <v>11227.94</v>
      </c>
      <c r="F822">
        <v>65000</v>
      </c>
      <c r="G822">
        <v>13012.1</v>
      </c>
      <c r="H822">
        <v>13012.1</v>
      </c>
    </row>
    <row r="823" spans="1:8" x14ac:dyDescent="0.2">
      <c r="A823">
        <v>952</v>
      </c>
      <c r="B823">
        <v>60210</v>
      </c>
      <c r="C823" t="s">
        <v>1255</v>
      </c>
      <c r="D823">
        <v>0</v>
      </c>
      <c r="E823">
        <v>0</v>
      </c>
      <c r="F823">
        <v>12000</v>
      </c>
      <c r="G823">
        <v>0</v>
      </c>
      <c r="H823">
        <v>0</v>
      </c>
    </row>
    <row r="824" spans="1:8" x14ac:dyDescent="0.2">
      <c r="A824">
        <v>952</v>
      </c>
      <c r="B824">
        <v>60220</v>
      </c>
      <c r="C824" t="s">
        <v>200</v>
      </c>
      <c r="D824">
        <v>0</v>
      </c>
      <c r="E824">
        <v>0</v>
      </c>
      <c r="F824">
        <v>0</v>
      </c>
      <c r="G824">
        <v>0</v>
      </c>
      <c r="H824">
        <v>0</v>
      </c>
    </row>
    <row r="825" spans="1:8" x14ac:dyDescent="0.2">
      <c r="A825">
        <v>952</v>
      </c>
      <c r="B825">
        <v>60230</v>
      </c>
      <c r="C825" t="s">
        <v>680</v>
      </c>
      <c r="D825">
        <v>0</v>
      </c>
      <c r="E825">
        <v>0</v>
      </c>
      <c r="F825">
        <v>0</v>
      </c>
      <c r="G825">
        <v>0</v>
      </c>
      <c r="H825">
        <v>0</v>
      </c>
    </row>
    <row r="826" spans="1:8" x14ac:dyDescent="0.2">
      <c r="A826">
        <v>952</v>
      </c>
      <c r="B826">
        <v>60250</v>
      </c>
      <c r="C826" t="s">
        <v>681</v>
      </c>
      <c r="D826">
        <v>4010.78</v>
      </c>
      <c r="E826">
        <v>33351.589999999997</v>
      </c>
      <c r="F826">
        <v>35618</v>
      </c>
      <c r="G826">
        <v>32481.68</v>
      </c>
      <c r="H826">
        <v>32481.68</v>
      </c>
    </row>
    <row r="827" spans="1:8" x14ac:dyDescent="0.2">
      <c r="A827">
        <v>952</v>
      </c>
      <c r="B827">
        <v>60255</v>
      </c>
      <c r="C827" t="s">
        <v>1342</v>
      </c>
      <c r="D827">
        <v>0</v>
      </c>
      <c r="E827">
        <v>0</v>
      </c>
      <c r="F827">
        <v>0</v>
      </c>
      <c r="G827">
        <v>0</v>
      </c>
      <c r="H827">
        <v>0</v>
      </c>
    </row>
    <row r="828" spans="1:8" x14ac:dyDescent="0.2">
      <c r="A828">
        <v>952</v>
      </c>
      <c r="B828">
        <v>60300</v>
      </c>
      <c r="C828" t="s">
        <v>1056</v>
      </c>
      <c r="D828">
        <v>0</v>
      </c>
      <c r="E828">
        <v>3424.35</v>
      </c>
      <c r="F828">
        <v>4294</v>
      </c>
      <c r="G828">
        <v>2452.17</v>
      </c>
      <c r="H828">
        <v>2452.17</v>
      </c>
    </row>
    <row r="829" spans="1:8" x14ac:dyDescent="0.2">
      <c r="A829">
        <v>952</v>
      </c>
      <c r="B829">
        <v>60400</v>
      </c>
      <c r="C829" t="s">
        <v>550</v>
      </c>
      <c r="D829">
        <v>432.06</v>
      </c>
      <c r="E829">
        <v>5464.4</v>
      </c>
      <c r="F829">
        <v>9000</v>
      </c>
      <c r="G829">
        <v>4299.1400000000003</v>
      </c>
      <c r="H829">
        <v>4299.1400000000003</v>
      </c>
    </row>
    <row r="830" spans="1:8" x14ac:dyDescent="0.2">
      <c r="A830">
        <v>952</v>
      </c>
      <c r="B830">
        <v>60450</v>
      </c>
      <c r="C830" t="s">
        <v>485</v>
      </c>
      <c r="D830">
        <v>0</v>
      </c>
      <c r="E830">
        <v>715.4</v>
      </c>
      <c r="F830">
        <v>2000</v>
      </c>
      <c r="G830">
        <v>918.25</v>
      </c>
      <c r="H830">
        <v>918.25</v>
      </c>
    </row>
    <row r="831" spans="1:8" x14ac:dyDescent="0.2">
      <c r="A831">
        <v>952</v>
      </c>
      <c r="B831">
        <v>60500</v>
      </c>
      <c r="C831" t="s">
        <v>538</v>
      </c>
      <c r="D831">
        <v>0</v>
      </c>
      <c r="E831">
        <v>987.15</v>
      </c>
      <c r="F831">
        <v>1500</v>
      </c>
      <c r="G831">
        <v>572.58000000000004</v>
      </c>
      <c r="H831">
        <v>572.58000000000004</v>
      </c>
    </row>
    <row r="832" spans="1:8" x14ac:dyDescent="0.2">
      <c r="A832">
        <v>952</v>
      </c>
      <c r="B832">
        <v>60550</v>
      </c>
      <c r="C832" t="s">
        <v>814</v>
      </c>
      <c r="D832">
        <v>333.25</v>
      </c>
      <c r="E832">
        <v>4894.42</v>
      </c>
      <c r="F832">
        <v>13000</v>
      </c>
      <c r="G832">
        <v>5244.49</v>
      </c>
      <c r="H832">
        <v>5244.49</v>
      </c>
    </row>
    <row r="833" spans="1:8" x14ac:dyDescent="0.2">
      <c r="A833">
        <v>952</v>
      </c>
      <c r="B833">
        <v>60600</v>
      </c>
      <c r="C833" t="s">
        <v>551</v>
      </c>
      <c r="D833">
        <v>0</v>
      </c>
      <c r="E833">
        <v>406.86</v>
      </c>
      <c r="F833">
        <v>500</v>
      </c>
      <c r="G833">
        <v>65.13</v>
      </c>
      <c r="H833">
        <v>65.13</v>
      </c>
    </row>
    <row r="834" spans="1:8" x14ac:dyDescent="0.2">
      <c r="A834">
        <v>952</v>
      </c>
      <c r="B834">
        <v>60700</v>
      </c>
      <c r="C834" t="s">
        <v>552</v>
      </c>
      <c r="D834">
        <v>150</v>
      </c>
      <c r="E834">
        <v>6093.3</v>
      </c>
      <c r="F834">
        <v>18000</v>
      </c>
      <c r="G834">
        <v>1299.95</v>
      </c>
      <c r="H834">
        <v>1299.95</v>
      </c>
    </row>
    <row r="835" spans="1:8" x14ac:dyDescent="0.2">
      <c r="A835">
        <v>952</v>
      </c>
      <c r="B835">
        <v>60750</v>
      </c>
      <c r="C835" t="s">
        <v>1159</v>
      </c>
      <c r="D835">
        <v>0</v>
      </c>
      <c r="E835">
        <v>7597.69</v>
      </c>
      <c r="F835">
        <v>16000</v>
      </c>
      <c r="G835">
        <v>6156.67</v>
      </c>
      <c r="H835">
        <v>6156.67</v>
      </c>
    </row>
    <row r="836" spans="1:8" x14ac:dyDescent="0.2">
      <c r="A836">
        <v>952</v>
      </c>
      <c r="B836">
        <v>60800</v>
      </c>
      <c r="C836" t="s">
        <v>682</v>
      </c>
      <c r="D836">
        <v>1220.3499999999999</v>
      </c>
      <c r="E836">
        <v>12645.68</v>
      </c>
      <c r="F836">
        <v>15000</v>
      </c>
      <c r="G836">
        <v>3407.99</v>
      </c>
      <c r="H836">
        <v>3407.99</v>
      </c>
    </row>
    <row r="837" spans="1:8" x14ac:dyDescent="0.2">
      <c r="A837">
        <v>952</v>
      </c>
      <c r="B837">
        <v>60805</v>
      </c>
      <c r="C837" t="s">
        <v>683</v>
      </c>
      <c r="D837">
        <v>0</v>
      </c>
      <c r="E837">
        <v>2345.4499999999998</v>
      </c>
      <c r="F837">
        <v>8000</v>
      </c>
      <c r="G837">
        <v>5623.85</v>
      </c>
      <c r="H837">
        <v>5623.85</v>
      </c>
    </row>
    <row r="838" spans="1:8" x14ac:dyDescent="0.2">
      <c r="A838">
        <v>952</v>
      </c>
      <c r="B838">
        <v>60810</v>
      </c>
      <c r="C838" t="s">
        <v>684</v>
      </c>
      <c r="D838">
        <v>129.69</v>
      </c>
      <c r="E838">
        <v>4564.3</v>
      </c>
      <c r="F838">
        <v>6000</v>
      </c>
      <c r="G838">
        <v>2650.54</v>
      </c>
      <c r="H838">
        <v>2650.54</v>
      </c>
    </row>
    <row r="839" spans="1:8" x14ac:dyDescent="0.2">
      <c r="A839">
        <v>952</v>
      </c>
      <c r="B839">
        <v>60815</v>
      </c>
      <c r="C839" t="s">
        <v>685</v>
      </c>
      <c r="D839">
        <v>938.02</v>
      </c>
      <c r="E839">
        <v>8625.73</v>
      </c>
      <c r="F839">
        <v>14000</v>
      </c>
      <c r="G839">
        <v>10421.23</v>
      </c>
      <c r="H839">
        <v>10421.23</v>
      </c>
    </row>
    <row r="840" spans="1:8" x14ac:dyDescent="0.2">
      <c r="A840">
        <v>952</v>
      </c>
      <c r="B840">
        <v>60820</v>
      </c>
      <c r="C840" t="s">
        <v>686</v>
      </c>
      <c r="D840">
        <v>67.040000000000006</v>
      </c>
      <c r="E840">
        <v>10419.66</v>
      </c>
      <c r="F840">
        <v>16000</v>
      </c>
      <c r="G840">
        <v>9352.89</v>
      </c>
      <c r="H840">
        <v>9352.89</v>
      </c>
    </row>
    <row r="841" spans="1:8" x14ac:dyDescent="0.2">
      <c r="A841">
        <v>952</v>
      </c>
      <c r="B841">
        <v>60825</v>
      </c>
      <c r="C841" t="s">
        <v>687</v>
      </c>
      <c r="D841">
        <v>0</v>
      </c>
      <c r="E841">
        <v>13350.56</v>
      </c>
      <c r="F841">
        <v>29250</v>
      </c>
      <c r="G841">
        <v>24090.28</v>
      </c>
      <c r="H841">
        <v>24090.28</v>
      </c>
    </row>
    <row r="842" spans="1:8" x14ac:dyDescent="0.2">
      <c r="A842">
        <v>952</v>
      </c>
      <c r="B842">
        <v>60826</v>
      </c>
      <c r="C842" t="s">
        <v>514</v>
      </c>
      <c r="D842">
        <v>0</v>
      </c>
      <c r="E842">
        <v>2449.9</v>
      </c>
      <c r="F842">
        <v>6480</v>
      </c>
      <c r="G842">
        <v>2050.3200000000002</v>
      </c>
      <c r="H842">
        <v>2050.3200000000002</v>
      </c>
    </row>
    <row r="843" spans="1:8" x14ac:dyDescent="0.2">
      <c r="A843">
        <v>952</v>
      </c>
      <c r="B843">
        <v>60830</v>
      </c>
      <c r="C843" t="s">
        <v>510</v>
      </c>
      <c r="D843">
        <v>114.07</v>
      </c>
      <c r="E843">
        <v>5562.97</v>
      </c>
      <c r="F843">
        <v>8500</v>
      </c>
      <c r="G843">
        <v>5231.6899999999996</v>
      </c>
      <c r="H843">
        <v>5231.6899999999996</v>
      </c>
    </row>
    <row r="844" spans="1:8" x14ac:dyDescent="0.2">
      <c r="A844">
        <v>952</v>
      </c>
      <c r="B844">
        <v>60850</v>
      </c>
      <c r="C844" t="s">
        <v>688</v>
      </c>
      <c r="D844">
        <v>0</v>
      </c>
      <c r="E844">
        <v>0</v>
      </c>
      <c r="F844">
        <v>0</v>
      </c>
      <c r="G844">
        <v>0</v>
      </c>
      <c r="H844">
        <v>0</v>
      </c>
    </row>
    <row r="845" spans="1:8" x14ac:dyDescent="0.2">
      <c r="A845">
        <v>952</v>
      </c>
      <c r="B845">
        <v>60851</v>
      </c>
      <c r="C845" t="s">
        <v>689</v>
      </c>
      <c r="D845">
        <v>0</v>
      </c>
      <c r="E845">
        <v>0</v>
      </c>
      <c r="F845">
        <v>0</v>
      </c>
      <c r="G845">
        <v>0</v>
      </c>
      <c r="H845">
        <v>0</v>
      </c>
    </row>
    <row r="846" spans="1:8" x14ac:dyDescent="0.2">
      <c r="A846">
        <v>952</v>
      </c>
      <c r="B846">
        <v>60855</v>
      </c>
      <c r="C846" t="s">
        <v>690</v>
      </c>
      <c r="D846">
        <v>0</v>
      </c>
      <c r="E846">
        <v>0</v>
      </c>
      <c r="F846">
        <v>0</v>
      </c>
      <c r="G846">
        <v>0</v>
      </c>
      <c r="H846">
        <v>0</v>
      </c>
    </row>
    <row r="847" spans="1:8" x14ac:dyDescent="0.2">
      <c r="A847">
        <v>952</v>
      </c>
      <c r="B847">
        <v>60860</v>
      </c>
      <c r="C847" t="s">
        <v>691</v>
      </c>
      <c r="D847">
        <v>0</v>
      </c>
      <c r="E847">
        <v>0</v>
      </c>
      <c r="F847">
        <v>0</v>
      </c>
      <c r="G847">
        <v>0</v>
      </c>
      <c r="H847">
        <v>0</v>
      </c>
    </row>
    <row r="848" spans="1:8" x14ac:dyDescent="0.2">
      <c r="A848">
        <v>952</v>
      </c>
      <c r="B848">
        <v>60865</v>
      </c>
      <c r="C848" t="s">
        <v>1122</v>
      </c>
      <c r="D848">
        <v>0</v>
      </c>
      <c r="E848">
        <v>0</v>
      </c>
      <c r="F848">
        <v>0</v>
      </c>
      <c r="G848">
        <v>187.39</v>
      </c>
      <c r="H848">
        <v>187.39</v>
      </c>
    </row>
    <row r="849" spans="1:8" x14ac:dyDescent="0.2">
      <c r="A849">
        <v>952</v>
      </c>
      <c r="B849">
        <v>60875</v>
      </c>
      <c r="C849" t="s">
        <v>692</v>
      </c>
      <c r="D849">
        <v>0</v>
      </c>
      <c r="E849">
        <v>0</v>
      </c>
      <c r="F849">
        <v>0</v>
      </c>
      <c r="G849">
        <v>0</v>
      </c>
      <c r="H849">
        <v>0</v>
      </c>
    </row>
    <row r="850" spans="1:8" x14ac:dyDescent="0.2">
      <c r="A850">
        <v>952</v>
      </c>
      <c r="B850">
        <v>60876</v>
      </c>
      <c r="C850" t="s">
        <v>693</v>
      </c>
      <c r="D850">
        <v>58.81</v>
      </c>
      <c r="E850">
        <v>553.49</v>
      </c>
      <c r="F850">
        <v>1000</v>
      </c>
      <c r="G850">
        <v>417.6</v>
      </c>
      <c r="H850">
        <v>417.6</v>
      </c>
    </row>
    <row r="851" spans="1:8" x14ac:dyDescent="0.2">
      <c r="A851">
        <v>952</v>
      </c>
      <c r="B851">
        <v>61000</v>
      </c>
      <c r="C851" t="s">
        <v>201</v>
      </c>
      <c r="D851">
        <v>9495.5</v>
      </c>
      <c r="E851">
        <v>31678.77</v>
      </c>
      <c r="F851">
        <v>30000</v>
      </c>
      <c r="G851">
        <v>11166.61</v>
      </c>
      <c r="H851">
        <v>11166.61</v>
      </c>
    </row>
    <row r="852" spans="1:8" x14ac:dyDescent="0.2">
      <c r="A852">
        <v>952</v>
      </c>
      <c r="B852">
        <v>61100</v>
      </c>
      <c r="C852" t="s">
        <v>202</v>
      </c>
      <c r="D852">
        <v>0</v>
      </c>
      <c r="E852">
        <v>3127.01</v>
      </c>
      <c r="F852">
        <v>19200</v>
      </c>
      <c r="G852">
        <v>6413.04</v>
      </c>
      <c r="H852">
        <v>6413.04</v>
      </c>
    </row>
    <row r="853" spans="1:8" x14ac:dyDescent="0.2">
      <c r="A853">
        <v>952</v>
      </c>
      <c r="B853">
        <v>61150</v>
      </c>
      <c r="C853" t="s">
        <v>1160</v>
      </c>
      <c r="D853">
        <v>0</v>
      </c>
      <c r="E853">
        <v>3276.49</v>
      </c>
      <c r="F853">
        <v>3200</v>
      </c>
      <c r="G853">
        <v>6424.35</v>
      </c>
      <c r="H853">
        <v>6424.35</v>
      </c>
    </row>
    <row r="854" spans="1:8" x14ac:dyDescent="0.2">
      <c r="A854">
        <v>952</v>
      </c>
      <c r="B854">
        <v>61160</v>
      </c>
      <c r="C854" t="s">
        <v>1256</v>
      </c>
      <c r="D854">
        <v>0</v>
      </c>
      <c r="E854">
        <v>3276.49</v>
      </c>
      <c r="F854">
        <v>3200</v>
      </c>
      <c r="G854">
        <v>0</v>
      </c>
      <c r="H854">
        <v>0</v>
      </c>
    </row>
    <row r="855" spans="1:8" x14ac:dyDescent="0.2">
      <c r="A855">
        <v>952</v>
      </c>
      <c r="B855">
        <v>61170</v>
      </c>
      <c r="C855" t="s">
        <v>1161</v>
      </c>
      <c r="D855">
        <v>0</v>
      </c>
      <c r="E855">
        <v>22885.37</v>
      </c>
      <c r="F855">
        <v>26400</v>
      </c>
      <c r="G855">
        <v>9469.57</v>
      </c>
      <c r="H855">
        <v>9469.57</v>
      </c>
    </row>
    <row r="856" spans="1:8" x14ac:dyDescent="0.2">
      <c r="A856">
        <v>952</v>
      </c>
      <c r="B856">
        <v>61175</v>
      </c>
      <c r="C856" t="s">
        <v>1257</v>
      </c>
      <c r="D856">
        <v>0</v>
      </c>
      <c r="E856">
        <v>0</v>
      </c>
      <c r="F856">
        <v>5000</v>
      </c>
      <c r="G856">
        <v>0</v>
      </c>
      <c r="H856">
        <v>0</v>
      </c>
    </row>
    <row r="857" spans="1:8" x14ac:dyDescent="0.2">
      <c r="A857">
        <v>952</v>
      </c>
      <c r="B857">
        <v>61200</v>
      </c>
      <c r="C857" t="s">
        <v>203</v>
      </c>
      <c r="D857">
        <v>0</v>
      </c>
      <c r="E857">
        <v>3020.92</v>
      </c>
      <c r="F857">
        <v>2000</v>
      </c>
      <c r="G857">
        <v>0</v>
      </c>
      <c r="H857">
        <v>0</v>
      </c>
    </row>
    <row r="858" spans="1:8" x14ac:dyDescent="0.2">
      <c r="A858">
        <v>952</v>
      </c>
      <c r="B858">
        <v>61300</v>
      </c>
      <c r="C858" t="s">
        <v>204</v>
      </c>
      <c r="D858">
        <v>0</v>
      </c>
      <c r="E858">
        <v>2735</v>
      </c>
      <c r="F858">
        <v>15200</v>
      </c>
      <c r="G858">
        <v>7140.89</v>
      </c>
      <c r="H858">
        <v>7140.89</v>
      </c>
    </row>
    <row r="859" spans="1:8" x14ac:dyDescent="0.2">
      <c r="A859">
        <v>952</v>
      </c>
      <c r="B859">
        <v>61400</v>
      </c>
      <c r="C859" t="s">
        <v>1162</v>
      </c>
      <c r="D859">
        <v>0</v>
      </c>
      <c r="E859">
        <v>0</v>
      </c>
      <c r="F859">
        <v>0</v>
      </c>
      <c r="G859">
        <v>0</v>
      </c>
      <c r="H859">
        <v>0</v>
      </c>
    </row>
    <row r="860" spans="1:8" x14ac:dyDescent="0.2">
      <c r="A860">
        <v>952</v>
      </c>
      <c r="B860">
        <v>61500</v>
      </c>
      <c r="C860" t="s">
        <v>205</v>
      </c>
      <c r="D860">
        <v>0</v>
      </c>
      <c r="E860">
        <v>15746.19</v>
      </c>
      <c r="F860">
        <v>36000</v>
      </c>
      <c r="G860">
        <v>21478.27</v>
      </c>
      <c r="H860">
        <v>21478.27</v>
      </c>
    </row>
    <row r="861" spans="1:8" x14ac:dyDescent="0.2">
      <c r="A861">
        <v>952</v>
      </c>
      <c r="B861">
        <v>61600</v>
      </c>
      <c r="C861" t="s">
        <v>206</v>
      </c>
      <c r="D861">
        <v>0</v>
      </c>
      <c r="E861">
        <v>1698.95</v>
      </c>
      <c r="F861">
        <v>2500</v>
      </c>
      <c r="G861">
        <v>2147.61</v>
      </c>
      <c r="H861">
        <v>2147.61</v>
      </c>
    </row>
    <row r="862" spans="1:8" x14ac:dyDescent="0.2">
      <c r="A862">
        <v>952</v>
      </c>
      <c r="B862">
        <v>61700</v>
      </c>
      <c r="C862" t="s">
        <v>207</v>
      </c>
      <c r="D862">
        <v>552.44000000000005</v>
      </c>
      <c r="E862">
        <v>4957.24</v>
      </c>
      <c r="F862">
        <v>20000</v>
      </c>
      <c r="G862">
        <v>12440.12</v>
      </c>
      <c r="H862">
        <v>12440.12</v>
      </c>
    </row>
    <row r="863" spans="1:8" x14ac:dyDescent="0.2">
      <c r="A863">
        <v>952</v>
      </c>
      <c r="B863">
        <v>61800</v>
      </c>
      <c r="C863" t="s">
        <v>208</v>
      </c>
      <c r="D863">
        <v>0</v>
      </c>
      <c r="E863">
        <v>718.9</v>
      </c>
      <c r="F863">
        <v>27000</v>
      </c>
      <c r="G863">
        <v>5274.12</v>
      </c>
      <c r="H863">
        <v>5274.12</v>
      </c>
    </row>
    <row r="864" spans="1:8" x14ac:dyDescent="0.2">
      <c r="A864">
        <v>952</v>
      </c>
      <c r="B864">
        <v>61900</v>
      </c>
      <c r="C864" t="s">
        <v>209</v>
      </c>
      <c r="D864">
        <v>0</v>
      </c>
      <c r="E864">
        <v>386.46</v>
      </c>
      <c r="F864">
        <v>2000</v>
      </c>
      <c r="G864">
        <v>1154.99</v>
      </c>
      <c r="H864">
        <v>1154.99</v>
      </c>
    </row>
    <row r="865" spans="1:8" x14ac:dyDescent="0.2">
      <c r="A865">
        <v>952</v>
      </c>
      <c r="B865">
        <v>62000</v>
      </c>
      <c r="C865" t="s">
        <v>536</v>
      </c>
      <c r="D865">
        <v>0</v>
      </c>
      <c r="E865">
        <v>70.87</v>
      </c>
      <c r="F865">
        <v>250</v>
      </c>
      <c r="G865">
        <v>131.03</v>
      </c>
      <c r="H865">
        <v>131.03</v>
      </c>
    </row>
    <row r="866" spans="1:8" x14ac:dyDescent="0.2">
      <c r="A866">
        <v>952</v>
      </c>
      <c r="B866">
        <v>62050</v>
      </c>
      <c r="C866" t="s">
        <v>493</v>
      </c>
      <c r="D866">
        <v>0</v>
      </c>
      <c r="E866">
        <v>423.84</v>
      </c>
      <c r="F866">
        <v>250</v>
      </c>
      <c r="G866">
        <v>234.59</v>
      </c>
      <c r="H866">
        <v>234.59</v>
      </c>
    </row>
    <row r="867" spans="1:8" x14ac:dyDescent="0.2">
      <c r="A867">
        <v>952</v>
      </c>
      <c r="B867">
        <v>62100</v>
      </c>
      <c r="C867" t="s">
        <v>610</v>
      </c>
      <c r="D867">
        <v>744.99</v>
      </c>
      <c r="E867">
        <v>8895.64</v>
      </c>
      <c r="F867">
        <v>9000</v>
      </c>
      <c r="G867">
        <v>9030.5</v>
      </c>
      <c r="H867">
        <v>9030.5</v>
      </c>
    </row>
    <row r="868" spans="1:8" x14ac:dyDescent="0.2">
      <c r="A868">
        <v>952</v>
      </c>
      <c r="B868">
        <v>62150</v>
      </c>
      <c r="C868" t="s">
        <v>879</v>
      </c>
      <c r="D868">
        <v>0</v>
      </c>
      <c r="E868">
        <v>0</v>
      </c>
      <c r="F868">
        <v>0</v>
      </c>
      <c r="G868">
        <v>0</v>
      </c>
      <c r="H868">
        <v>0</v>
      </c>
    </row>
    <row r="869" spans="1:8" x14ac:dyDescent="0.2">
      <c r="A869">
        <v>952</v>
      </c>
      <c r="B869">
        <v>62200</v>
      </c>
      <c r="C869" t="s">
        <v>565</v>
      </c>
      <c r="D869">
        <v>0</v>
      </c>
      <c r="E869">
        <v>70</v>
      </c>
      <c r="F869">
        <v>500</v>
      </c>
      <c r="G869">
        <v>130</v>
      </c>
      <c r="H869">
        <v>130</v>
      </c>
    </row>
    <row r="870" spans="1:8" x14ac:dyDescent="0.2">
      <c r="A870">
        <v>952</v>
      </c>
      <c r="B870">
        <v>62250</v>
      </c>
      <c r="C870" t="s">
        <v>485</v>
      </c>
      <c r="D870">
        <v>195.97</v>
      </c>
      <c r="E870">
        <v>3388.89</v>
      </c>
      <c r="F870">
        <v>3000</v>
      </c>
      <c r="G870">
        <v>2437.85</v>
      </c>
      <c r="H870">
        <v>2437.85</v>
      </c>
    </row>
    <row r="871" spans="1:8" x14ac:dyDescent="0.2">
      <c r="A871">
        <v>952</v>
      </c>
      <c r="B871">
        <v>62300</v>
      </c>
      <c r="C871" t="s">
        <v>538</v>
      </c>
      <c r="D871">
        <v>336.5</v>
      </c>
      <c r="E871">
        <v>2751.37</v>
      </c>
      <c r="F871">
        <v>3000</v>
      </c>
      <c r="G871">
        <v>3894.7</v>
      </c>
      <c r="H871">
        <v>3894.7</v>
      </c>
    </row>
    <row r="872" spans="1:8" x14ac:dyDescent="0.2">
      <c r="A872">
        <v>952</v>
      </c>
      <c r="B872">
        <v>62350</v>
      </c>
      <c r="C872" t="s">
        <v>814</v>
      </c>
      <c r="D872">
        <v>313.31</v>
      </c>
      <c r="E872">
        <v>5635.24</v>
      </c>
      <c r="F872">
        <v>4800</v>
      </c>
      <c r="G872">
        <v>5822.9</v>
      </c>
      <c r="H872">
        <v>5822.9</v>
      </c>
    </row>
    <row r="873" spans="1:8" x14ac:dyDescent="0.2">
      <c r="A873">
        <v>952</v>
      </c>
      <c r="B873">
        <v>62360</v>
      </c>
      <c r="C873" t="s">
        <v>551</v>
      </c>
      <c r="D873">
        <v>0</v>
      </c>
      <c r="E873">
        <v>0</v>
      </c>
      <c r="F873">
        <v>300</v>
      </c>
      <c r="G873">
        <v>124.6</v>
      </c>
      <c r="H873">
        <v>124.6</v>
      </c>
    </row>
    <row r="874" spans="1:8" x14ac:dyDescent="0.2">
      <c r="A874">
        <v>952</v>
      </c>
      <c r="B874">
        <v>62400</v>
      </c>
      <c r="C874" t="s">
        <v>566</v>
      </c>
      <c r="D874">
        <v>0</v>
      </c>
      <c r="E874">
        <v>0</v>
      </c>
      <c r="F874">
        <v>200</v>
      </c>
      <c r="G874">
        <v>173.91</v>
      </c>
      <c r="H874">
        <v>173.91</v>
      </c>
    </row>
    <row r="875" spans="1:8" x14ac:dyDescent="0.2">
      <c r="A875">
        <v>952</v>
      </c>
      <c r="B875">
        <v>62450</v>
      </c>
      <c r="C875" t="s">
        <v>574</v>
      </c>
      <c r="D875">
        <v>0</v>
      </c>
      <c r="E875">
        <v>2453.7800000000002</v>
      </c>
      <c r="F875">
        <v>2000</v>
      </c>
      <c r="G875">
        <v>1054.2</v>
      </c>
      <c r="H875">
        <v>1054.2</v>
      </c>
    </row>
    <row r="876" spans="1:8" x14ac:dyDescent="0.2">
      <c r="A876">
        <v>952</v>
      </c>
      <c r="B876">
        <v>62455</v>
      </c>
      <c r="C876" t="s">
        <v>1149</v>
      </c>
      <c r="D876">
        <v>0</v>
      </c>
      <c r="E876">
        <v>0</v>
      </c>
      <c r="F876">
        <v>200</v>
      </c>
      <c r="G876">
        <v>0</v>
      </c>
      <c r="H876">
        <v>0</v>
      </c>
    </row>
    <row r="877" spans="1:8" x14ac:dyDescent="0.2">
      <c r="A877">
        <v>952</v>
      </c>
      <c r="B877">
        <v>62500</v>
      </c>
      <c r="C877" t="s">
        <v>506</v>
      </c>
      <c r="D877">
        <v>5877.17</v>
      </c>
      <c r="E877">
        <v>54313.96</v>
      </c>
      <c r="F877">
        <v>53771</v>
      </c>
      <c r="G877">
        <v>64428.639999999999</v>
      </c>
      <c r="H877">
        <v>64428.639999999999</v>
      </c>
    </row>
    <row r="878" spans="1:8" x14ac:dyDescent="0.2">
      <c r="A878">
        <v>952</v>
      </c>
      <c r="B878">
        <v>62550</v>
      </c>
      <c r="C878" t="s">
        <v>882</v>
      </c>
      <c r="D878">
        <v>0</v>
      </c>
      <c r="E878">
        <v>0</v>
      </c>
      <c r="F878">
        <v>500</v>
      </c>
      <c r="G878">
        <v>195.65</v>
      </c>
      <c r="H878">
        <v>195.65</v>
      </c>
    </row>
    <row r="879" spans="1:8" x14ac:dyDescent="0.2">
      <c r="A879">
        <v>952</v>
      </c>
      <c r="B879">
        <v>62560</v>
      </c>
      <c r="C879" t="s">
        <v>210</v>
      </c>
      <c r="D879">
        <v>0</v>
      </c>
      <c r="E879">
        <v>2840.93</v>
      </c>
      <c r="F879">
        <v>4000</v>
      </c>
      <c r="G879">
        <v>5177.6099999999997</v>
      </c>
      <c r="H879">
        <v>5177.6099999999997</v>
      </c>
    </row>
    <row r="880" spans="1:8" x14ac:dyDescent="0.2">
      <c r="A880">
        <v>952</v>
      </c>
      <c r="B880">
        <v>62570</v>
      </c>
      <c r="C880" t="s">
        <v>561</v>
      </c>
      <c r="D880">
        <v>2233.67</v>
      </c>
      <c r="E880">
        <v>10153.41</v>
      </c>
      <c r="F880">
        <v>11000</v>
      </c>
      <c r="G880">
        <v>11403.74</v>
      </c>
      <c r="H880">
        <v>11403.74</v>
      </c>
    </row>
    <row r="881" spans="1:8" x14ac:dyDescent="0.2">
      <c r="A881">
        <v>952</v>
      </c>
      <c r="B881">
        <v>62580</v>
      </c>
      <c r="C881" t="s">
        <v>510</v>
      </c>
      <c r="D881">
        <v>979.59</v>
      </c>
      <c r="E881">
        <v>13599.29</v>
      </c>
      <c r="F881">
        <v>12000</v>
      </c>
      <c r="G881">
        <v>11939.66</v>
      </c>
      <c r="H881">
        <v>11939.66</v>
      </c>
    </row>
    <row r="882" spans="1:8" x14ac:dyDescent="0.2">
      <c r="A882">
        <v>952</v>
      </c>
      <c r="B882">
        <v>63000</v>
      </c>
      <c r="C882" t="s">
        <v>536</v>
      </c>
      <c r="D882">
        <v>53.09</v>
      </c>
      <c r="E882">
        <v>114.8</v>
      </c>
      <c r="F882">
        <v>200</v>
      </c>
      <c r="G882">
        <v>179.16</v>
      </c>
      <c r="H882">
        <v>179.16</v>
      </c>
    </row>
    <row r="883" spans="1:8" x14ac:dyDescent="0.2">
      <c r="A883">
        <v>952</v>
      </c>
      <c r="B883">
        <v>63050</v>
      </c>
      <c r="C883" t="s">
        <v>493</v>
      </c>
      <c r="D883">
        <v>0</v>
      </c>
      <c r="E883">
        <v>135.30000000000001</v>
      </c>
      <c r="F883">
        <v>300</v>
      </c>
      <c r="G883">
        <v>376.79</v>
      </c>
      <c r="H883">
        <v>376.79</v>
      </c>
    </row>
    <row r="884" spans="1:8" x14ac:dyDescent="0.2">
      <c r="A884">
        <v>952</v>
      </c>
      <c r="B884">
        <v>63100</v>
      </c>
      <c r="C884" t="s">
        <v>610</v>
      </c>
      <c r="D884">
        <v>179.04</v>
      </c>
      <c r="E884">
        <v>2553.2199999999998</v>
      </c>
      <c r="F884">
        <v>3000</v>
      </c>
      <c r="G884">
        <v>4008.36</v>
      </c>
      <c r="H884">
        <v>4008.36</v>
      </c>
    </row>
    <row r="885" spans="1:8" x14ac:dyDescent="0.2">
      <c r="A885">
        <v>952</v>
      </c>
      <c r="B885">
        <v>63150</v>
      </c>
      <c r="C885" t="s">
        <v>879</v>
      </c>
      <c r="D885">
        <v>0</v>
      </c>
      <c r="E885">
        <v>0</v>
      </c>
      <c r="F885">
        <v>0</v>
      </c>
      <c r="G885">
        <v>1200</v>
      </c>
      <c r="H885">
        <v>1200</v>
      </c>
    </row>
    <row r="886" spans="1:8" x14ac:dyDescent="0.2">
      <c r="A886">
        <v>952</v>
      </c>
      <c r="B886">
        <v>63200</v>
      </c>
      <c r="C886" t="s">
        <v>565</v>
      </c>
      <c r="D886">
        <v>0</v>
      </c>
      <c r="E886">
        <v>253.26</v>
      </c>
      <c r="F886">
        <v>500</v>
      </c>
      <c r="G886">
        <v>0</v>
      </c>
      <c r="H886">
        <v>0</v>
      </c>
    </row>
    <row r="887" spans="1:8" x14ac:dyDescent="0.2">
      <c r="A887">
        <v>952</v>
      </c>
      <c r="B887">
        <v>63250</v>
      </c>
      <c r="C887" t="s">
        <v>485</v>
      </c>
      <c r="D887">
        <v>211.84</v>
      </c>
      <c r="E887">
        <v>546.29999999999995</v>
      </c>
      <c r="F887">
        <v>1200</v>
      </c>
      <c r="G887">
        <v>585.66999999999996</v>
      </c>
      <c r="H887">
        <v>585.66999999999996</v>
      </c>
    </row>
    <row r="888" spans="1:8" x14ac:dyDescent="0.2">
      <c r="A888">
        <v>952</v>
      </c>
      <c r="B888">
        <v>63300</v>
      </c>
      <c r="C888" t="s">
        <v>538</v>
      </c>
      <c r="D888">
        <v>22.3</v>
      </c>
      <c r="E888">
        <v>1702.56</v>
      </c>
      <c r="F888">
        <v>1500</v>
      </c>
      <c r="G888">
        <v>1672.62</v>
      </c>
      <c r="H888">
        <v>1672.62</v>
      </c>
    </row>
    <row r="889" spans="1:8" x14ac:dyDescent="0.2">
      <c r="A889">
        <v>952</v>
      </c>
      <c r="B889">
        <v>63350</v>
      </c>
      <c r="C889" t="s">
        <v>814</v>
      </c>
      <c r="D889">
        <v>209.18</v>
      </c>
      <c r="E889">
        <v>2578.2399999999998</v>
      </c>
      <c r="F889">
        <v>3000</v>
      </c>
      <c r="G889">
        <v>3796.58</v>
      </c>
      <c r="H889">
        <v>3796.58</v>
      </c>
    </row>
    <row r="890" spans="1:8" x14ac:dyDescent="0.2">
      <c r="A890">
        <v>952</v>
      </c>
      <c r="B890">
        <v>63400</v>
      </c>
      <c r="C890" t="s">
        <v>551</v>
      </c>
      <c r="D890">
        <v>0</v>
      </c>
      <c r="E890">
        <v>116.86</v>
      </c>
      <c r="F890">
        <v>250</v>
      </c>
      <c r="G890">
        <v>180.41</v>
      </c>
      <c r="H890">
        <v>180.41</v>
      </c>
    </row>
    <row r="891" spans="1:8" x14ac:dyDescent="0.2">
      <c r="A891">
        <v>952</v>
      </c>
      <c r="B891">
        <v>63450</v>
      </c>
      <c r="C891" t="s">
        <v>566</v>
      </c>
      <c r="D891">
        <v>0</v>
      </c>
      <c r="E891">
        <v>0</v>
      </c>
      <c r="F891">
        <v>100</v>
      </c>
      <c r="G891">
        <v>0</v>
      </c>
      <c r="H891">
        <v>0</v>
      </c>
    </row>
    <row r="892" spans="1:8" x14ac:dyDescent="0.2">
      <c r="A892">
        <v>952</v>
      </c>
      <c r="B892">
        <v>63460</v>
      </c>
      <c r="C892" t="s">
        <v>574</v>
      </c>
      <c r="D892">
        <v>130.99</v>
      </c>
      <c r="E892">
        <v>817.47</v>
      </c>
      <c r="F892">
        <v>1000</v>
      </c>
      <c r="G892">
        <v>639.13</v>
      </c>
      <c r="H892">
        <v>639.13</v>
      </c>
    </row>
    <row r="893" spans="1:8" x14ac:dyDescent="0.2">
      <c r="A893">
        <v>952</v>
      </c>
      <c r="B893">
        <v>63465</v>
      </c>
      <c r="C893" t="s">
        <v>1149</v>
      </c>
      <c r="D893">
        <v>3.91</v>
      </c>
      <c r="E893">
        <v>100.36</v>
      </c>
      <c r="F893">
        <v>200</v>
      </c>
      <c r="G893">
        <v>164.35</v>
      </c>
      <c r="H893">
        <v>164.35</v>
      </c>
    </row>
    <row r="894" spans="1:8" x14ac:dyDescent="0.2">
      <c r="A894">
        <v>952</v>
      </c>
      <c r="B894">
        <v>63500</v>
      </c>
      <c r="C894" t="s">
        <v>506</v>
      </c>
      <c r="D894">
        <v>3176.22</v>
      </c>
      <c r="E894">
        <v>24839.24</v>
      </c>
      <c r="F894">
        <v>29849</v>
      </c>
      <c r="G894">
        <v>17677.189999999999</v>
      </c>
      <c r="H894">
        <v>17677.189999999999</v>
      </c>
    </row>
    <row r="895" spans="1:8" x14ac:dyDescent="0.2">
      <c r="A895">
        <v>952</v>
      </c>
      <c r="B895">
        <v>63550</v>
      </c>
      <c r="C895" t="s">
        <v>882</v>
      </c>
      <c r="D895">
        <v>0</v>
      </c>
      <c r="E895">
        <v>0</v>
      </c>
      <c r="F895">
        <v>500</v>
      </c>
      <c r="G895">
        <v>195.65</v>
      </c>
      <c r="H895">
        <v>195.65</v>
      </c>
    </row>
    <row r="896" spans="1:8" x14ac:dyDescent="0.2">
      <c r="A896">
        <v>952</v>
      </c>
      <c r="B896">
        <v>63560</v>
      </c>
      <c r="C896" t="s">
        <v>552</v>
      </c>
      <c r="D896">
        <v>15</v>
      </c>
      <c r="E896">
        <v>302.99</v>
      </c>
      <c r="F896">
        <v>1500</v>
      </c>
      <c r="G896">
        <v>1244.1199999999999</v>
      </c>
      <c r="H896">
        <v>1244.1199999999999</v>
      </c>
    </row>
    <row r="897" spans="1:8" x14ac:dyDescent="0.2">
      <c r="A897">
        <v>952</v>
      </c>
      <c r="B897">
        <v>63570</v>
      </c>
      <c r="C897" t="s">
        <v>905</v>
      </c>
      <c r="D897">
        <v>1624.8</v>
      </c>
      <c r="E897">
        <v>5784.88</v>
      </c>
      <c r="F897">
        <v>5500</v>
      </c>
      <c r="G897">
        <v>6913.77</v>
      </c>
      <c r="H897">
        <v>6913.77</v>
      </c>
    </row>
    <row r="898" spans="1:8" x14ac:dyDescent="0.2">
      <c r="A898">
        <v>952</v>
      </c>
      <c r="B898">
        <v>63580</v>
      </c>
      <c r="C898" t="s">
        <v>510</v>
      </c>
      <c r="D898">
        <v>1578.35</v>
      </c>
      <c r="E898">
        <v>8494.7199999999993</v>
      </c>
      <c r="F898">
        <v>8000</v>
      </c>
      <c r="G898">
        <v>6538.04</v>
      </c>
      <c r="H898">
        <v>6538.04</v>
      </c>
    </row>
    <row r="899" spans="1:8" x14ac:dyDescent="0.2">
      <c r="A899">
        <v>952</v>
      </c>
      <c r="B899">
        <v>9000</v>
      </c>
      <c r="C899" t="s">
        <v>694</v>
      </c>
      <c r="D899">
        <v>-79382.89</v>
      </c>
      <c r="E899">
        <v>749090.1</v>
      </c>
      <c r="F899">
        <v>501483</v>
      </c>
      <c r="G899">
        <v>548126.94999999995</v>
      </c>
      <c r="H899">
        <v>548126.94999999995</v>
      </c>
    </row>
    <row r="900" spans="1:8" x14ac:dyDescent="0.2">
      <c r="A900">
        <v>952</v>
      </c>
      <c r="B900">
        <v>9001</v>
      </c>
      <c r="C900" t="s">
        <v>1258</v>
      </c>
      <c r="D900">
        <v>-798865.24</v>
      </c>
      <c r="E900">
        <v>837744.38</v>
      </c>
      <c r="F900">
        <v>1097281</v>
      </c>
      <c r="G900">
        <v>1097281.33</v>
      </c>
      <c r="H900">
        <v>1097281.33</v>
      </c>
    </row>
    <row r="901" spans="1:8" x14ac:dyDescent="0.2">
      <c r="A901">
        <v>952</v>
      </c>
      <c r="B901">
        <v>9002</v>
      </c>
      <c r="C901" t="s">
        <v>906</v>
      </c>
      <c r="D901">
        <v>0</v>
      </c>
      <c r="E901">
        <v>0</v>
      </c>
      <c r="F901">
        <v>0</v>
      </c>
      <c r="G901">
        <v>0</v>
      </c>
      <c r="H901">
        <v>0</v>
      </c>
    </row>
    <row r="902" spans="1:8" x14ac:dyDescent="0.2">
      <c r="A902">
        <v>952</v>
      </c>
      <c r="B902">
        <v>9003</v>
      </c>
      <c r="C902" t="s">
        <v>908</v>
      </c>
      <c r="D902">
        <v>0</v>
      </c>
      <c r="E902">
        <v>939667.26</v>
      </c>
      <c r="F902">
        <v>0</v>
      </c>
      <c r="G902">
        <v>902073.02</v>
      </c>
      <c r="H902">
        <v>902073.02</v>
      </c>
    </row>
    <row r="903" spans="1:8" x14ac:dyDescent="0.2">
      <c r="A903">
        <v>952</v>
      </c>
      <c r="B903">
        <v>9004</v>
      </c>
      <c r="C903" t="s">
        <v>909</v>
      </c>
      <c r="D903">
        <v>0</v>
      </c>
      <c r="E903">
        <v>550026.56000000006</v>
      </c>
      <c r="F903">
        <v>0</v>
      </c>
      <c r="G903">
        <v>535890.16</v>
      </c>
      <c r="H903">
        <v>535890.16</v>
      </c>
    </row>
    <row r="904" spans="1:8" x14ac:dyDescent="0.2">
      <c r="A904">
        <v>952</v>
      </c>
      <c r="B904">
        <v>9005</v>
      </c>
      <c r="C904" t="s">
        <v>910</v>
      </c>
      <c r="D904">
        <v>0</v>
      </c>
      <c r="E904">
        <v>0</v>
      </c>
      <c r="F904">
        <v>0</v>
      </c>
      <c r="G904">
        <v>504473.97</v>
      </c>
      <c r="H904">
        <v>504473.97</v>
      </c>
    </row>
    <row r="905" spans="1:8" x14ac:dyDescent="0.2">
      <c r="A905">
        <v>952</v>
      </c>
      <c r="B905">
        <v>9006</v>
      </c>
      <c r="C905" t="s">
        <v>911</v>
      </c>
      <c r="D905">
        <v>0</v>
      </c>
      <c r="E905">
        <v>850594.91</v>
      </c>
      <c r="F905">
        <v>6101371</v>
      </c>
      <c r="G905">
        <v>850594.91</v>
      </c>
      <c r="H905">
        <v>850594.91</v>
      </c>
    </row>
    <row r="906" spans="1:8" x14ac:dyDescent="0.2">
      <c r="A906">
        <v>952</v>
      </c>
      <c r="B906">
        <v>9007</v>
      </c>
      <c r="C906" t="s">
        <v>912</v>
      </c>
      <c r="D906">
        <v>0</v>
      </c>
      <c r="E906">
        <v>414287.2</v>
      </c>
      <c r="F906">
        <v>0</v>
      </c>
      <c r="G906">
        <v>400000</v>
      </c>
      <c r="H906">
        <v>400000</v>
      </c>
    </row>
    <row r="907" spans="1:8" x14ac:dyDescent="0.2">
      <c r="A907">
        <v>952</v>
      </c>
      <c r="B907">
        <v>9008</v>
      </c>
      <c r="C907" t="s">
        <v>913</v>
      </c>
      <c r="D907">
        <v>0</v>
      </c>
      <c r="E907">
        <v>509641.89</v>
      </c>
      <c r="F907">
        <v>0</v>
      </c>
      <c r="G907">
        <v>0</v>
      </c>
      <c r="H907">
        <v>0</v>
      </c>
    </row>
    <row r="908" spans="1:8" x14ac:dyDescent="0.2">
      <c r="A908">
        <v>952</v>
      </c>
      <c r="B908">
        <v>9009</v>
      </c>
      <c r="C908" t="s">
        <v>914</v>
      </c>
      <c r="D908">
        <v>0</v>
      </c>
      <c r="E908">
        <v>302268.49</v>
      </c>
      <c r="F908">
        <v>0</v>
      </c>
      <c r="G908">
        <v>0</v>
      </c>
      <c r="H908">
        <v>0</v>
      </c>
    </row>
    <row r="909" spans="1:8" x14ac:dyDescent="0.2">
      <c r="A909">
        <v>952</v>
      </c>
      <c r="B909">
        <v>9010</v>
      </c>
      <c r="C909" t="s">
        <v>915</v>
      </c>
      <c r="D909">
        <v>0</v>
      </c>
      <c r="E909">
        <v>0</v>
      </c>
      <c r="F909">
        <v>0</v>
      </c>
      <c r="G909">
        <v>0</v>
      </c>
      <c r="H909">
        <v>0</v>
      </c>
    </row>
    <row r="910" spans="1:8" x14ac:dyDescent="0.2">
      <c r="A910">
        <v>952</v>
      </c>
      <c r="B910">
        <v>9012</v>
      </c>
      <c r="C910" t="s">
        <v>907</v>
      </c>
      <c r="D910">
        <v>0</v>
      </c>
      <c r="E910">
        <v>662451.67000000004</v>
      </c>
      <c r="F910">
        <v>0</v>
      </c>
      <c r="G910">
        <v>645762.5</v>
      </c>
      <c r="H910">
        <v>645762.5</v>
      </c>
    </row>
    <row r="911" spans="1:8" x14ac:dyDescent="0.2">
      <c r="A911">
        <v>952</v>
      </c>
      <c r="B911">
        <v>9013</v>
      </c>
      <c r="C911" t="s">
        <v>695</v>
      </c>
      <c r="D911">
        <v>0</v>
      </c>
      <c r="E911">
        <v>0</v>
      </c>
      <c r="F911">
        <v>0</v>
      </c>
      <c r="G911">
        <v>0</v>
      </c>
      <c r="H911">
        <v>0</v>
      </c>
    </row>
    <row r="912" spans="1:8" x14ac:dyDescent="0.2">
      <c r="A912">
        <v>952</v>
      </c>
      <c r="B912">
        <v>9015</v>
      </c>
      <c r="C912" t="s">
        <v>916</v>
      </c>
      <c r="D912">
        <v>0</v>
      </c>
      <c r="E912">
        <v>1272088.58</v>
      </c>
      <c r="F912">
        <v>0</v>
      </c>
      <c r="G912">
        <v>1250367.1299999999</v>
      </c>
      <c r="H912">
        <v>1250367.1299999999</v>
      </c>
    </row>
    <row r="913" spans="1:8" x14ac:dyDescent="0.2">
      <c r="A913">
        <v>952</v>
      </c>
      <c r="B913">
        <v>9016</v>
      </c>
      <c r="C913" t="s">
        <v>917</v>
      </c>
      <c r="D913">
        <v>8488.94</v>
      </c>
      <c r="E913">
        <v>1024878.15</v>
      </c>
      <c r="F913">
        <v>0</v>
      </c>
      <c r="G913">
        <v>987314.19</v>
      </c>
      <c r="H913">
        <v>987314.19</v>
      </c>
    </row>
    <row r="914" spans="1:8" x14ac:dyDescent="0.2">
      <c r="A914">
        <v>952</v>
      </c>
      <c r="B914">
        <v>9017</v>
      </c>
      <c r="C914" t="s">
        <v>918</v>
      </c>
      <c r="D914">
        <v>0</v>
      </c>
      <c r="E914">
        <v>0</v>
      </c>
      <c r="F914">
        <v>0</v>
      </c>
      <c r="G914">
        <v>0</v>
      </c>
      <c r="H914">
        <v>0</v>
      </c>
    </row>
    <row r="915" spans="1:8" x14ac:dyDescent="0.2">
      <c r="A915">
        <v>952</v>
      </c>
      <c r="B915">
        <v>9018</v>
      </c>
      <c r="C915" t="s">
        <v>919</v>
      </c>
      <c r="D915">
        <v>0</v>
      </c>
      <c r="E915">
        <v>504473.97</v>
      </c>
      <c r="F915">
        <v>0</v>
      </c>
      <c r="G915">
        <v>0</v>
      </c>
      <c r="H915">
        <v>0</v>
      </c>
    </row>
    <row r="916" spans="1:8" x14ac:dyDescent="0.2">
      <c r="A916">
        <v>952</v>
      </c>
      <c r="B916">
        <v>9019</v>
      </c>
      <c r="C916" t="s">
        <v>920</v>
      </c>
      <c r="D916">
        <v>0.6</v>
      </c>
      <c r="E916">
        <v>25708.78</v>
      </c>
      <c r="F916">
        <v>0</v>
      </c>
      <c r="G916">
        <v>24895.33</v>
      </c>
      <c r="H916">
        <v>24895.33</v>
      </c>
    </row>
    <row r="917" spans="1:8" x14ac:dyDescent="0.2">
      <c r="A917">
        <v>952</v>
      </c>
      <c r="B917">
        <v>9020</v>
      </c>
      <c r="C917" t="s">
        <v>921</v>
      </c>
      <c r="D917">
        <v>9488.9699999999993</v>
      </c>
      <c r="E917">
        <v>1112682</v>
      </c>
      <c r="F917">
        <v>0</v>
      </c>
      <c r="G917">
        <v>1076199.04</v>
      </c>
      <c r="H917">
        <v>1076199.04</v>
      </c>
    </row>
    <row r="918" spans="1:8" x14ac:dyDescent="0.2">
      <c r="A918">
        <v>952</v>
      </c>
      <c r="B918">
        <v>9021</v>
      </c>
      <c r="C918" t="s">
        <v>60</v>
      </c>
      <c r="D918">
        <v>0</v>
      </c>
      <c r="E918">
        <v>0</v>
      </c>
      <c r="F918">
        <v>0</v>
      </c>
      <c r="G918">
        <v>0</v>
      </c>
      <c r="H918">
        <v>0</v>
      </c>
    </row>
    <row r="919" spans="1:8" x14ac:dyDescent="0.2">
      <c r="A919">
        <v>952</v>
      </c>
      <c r="B919">
        <v>9022</v>
      </c>
      <c r="C919" t="s">
        <v>697</v>
      </c>
      <c r="D919">
        <v>0</v>
      </c>
      <c r="E919">
        <v>0</v>
      </c>
      <c r="F919">
        <v>0</v>
      </c>
      <c r="G919">
        <v>0</v>
      </c>
      <c r="H919">
        <v>0</v>
      </c>
    </row>
    <row r="920" spans="1:8" x14ac:dyDescent="0.2">
      <c r="A920">
        <v>952</v>
      </c>
      <c r="B920">
        <v>9023</v>
      </c>
      <c r="C920" t="s">
        <v>61</v>
      </c>
      <c r="D920">
        <v>0</v>
      </c>
      <c r="E920">
        <v>0</v>
      </c>
      <c r="F920">
        <v>0</v>
      </c>
      <c r="G920">
        <v>0</v>
      </c>
      <c r="H920">
        <v>0</v>
      </c>
    </row>
    <row r="921" spans="1:8" x14ac:dyDescent="0.2">
      <c r="A921">
        <v>952</v>
      </c>
      <c r="B921">
        <v>9024</v>
      </c>
      <c r="C921" t="s">
        <v>696</v>
      </c>
      <c r="D921">
        <v>0</v>
      </c>
      <c r="E921">
        <v>0</v>
      </c>
      <c r="F921">
        <v>0</v>
      </c>
      <c r="G921">
        <v>0</v>
      </c>
      <c r="H921">
        <v>0</v>
      </c>
    </row>
    <row r="922" spans="1:8" x14ac:dyDescent="0.2">
      <c r="A922">
        <v>952</v>
      </c>
      <c r="B922">
        <v>9029</v>
      </c>
      <c r="C922" t="s">
        <v>698</v>
      </c>
      <c r="D922">
        <v>0</v>
      </c>
      <c r="E922">
        <v>1912.66</v>
      </c>
      <c r="F922">
        <v>1913</v>
      </c>
      <c r="G922">
        <v>1912.66</v>
      </c>
      <c r="H922">
        <v>1912.66</v>
      </c>
    </row>
    <row r="923" spans="1:8" x14ac:dyDescent="0.2">
      <c r="A923">
        <v>952</v>
      </c>
      <c r="B923">
        <v>9030</v>
      </c>
      <c r="C923" t="s">
        <v>699</v>
      </c>
      <c r="D923">
        <v>59602.5</v>
      </c>
      <c r="E923">
        <v>127336.37</v>
      </c>
      <c r="F923">
        <v>43305</v>
      </c>
      <c r="G923">
        <v>88151.53</v>
      </c>
      <c r="H923">
        <v>88151.53</v>
      </c>
    </row>
    <row r="924" spans="1:8" x14ac:dyDescent="0.2">
      <c r="A924">
        <v>952</v>
      </c>
      <c r="B924">
        <v>9035</v>
      </c>
      <c r="C924" t="s">
        <v>700</v>
      </c>
      <c r="D924">
        <v>0</v>
      </c>
      <c r="E924">
        <v>0</v>
      </c>
      <c r="F924">
        <v>0</v>
      </c>
      <c r="G924">
        <v>0</v>
      </c>
      <c r="H924">
        <v>0</v>
      </c>
    </row>
    <row r="925" spans="1:8" x14ac:dyDescent="0.2">
      <c r="A925">
        <v>952</v>
      </c>
      <c r="B925">
        <v>9040</v>
      </c>
      <c r="C925" t="s">
        <v>701</v>
      </c>
      <c r="D925">
        <v>-14255.03</v>
      </c>
      <c r="E925">
        <v>-18346.43</v>
      </c>
      <c r="F925">
        <v>0</v>
      </c>
      <c r="G925">
        <v>-44846.06</v>
      </c>
      <c r="H925">
        <v>-44846.06</v>
      </c>
    </row>
    <row r="926" spans="1:8" x14ac:dyDescent="0.2">
      <c r="A926">
        <v>952</v>
      </c>
      <c r="B926">
        <v>9112</v>
      </c>
      <c r="C926" t="s">
        <v>234</v>
      </c>
      <c r="D926">
        <v>38309.339999999997</v>
      </c>
      <c r="E926">
        <v>38309.339999999997</v>
      </c>
      <c r="F926">
        <v>48777</v>
      </c>
      <c r="G926">
        <v>48777.18</v>
      </c>
      <c r="H926">
        <v>48777.18</v>
      </c>
    </row>
    <row r="927" spans="1:8" x14ac:dyDescent="0.2">
      <c r="A927">
        <v>952</v>
      </c>
      <c r="B927">
        <v>9114</v>
      </c>
      <c r="C927" t="s">
        <v>1259</v>
      </c>
      <c r="D927">
        <v>-740</v>
      </c>
      <c r="E927">
        <v>354.7</v>
      </c>
      <c r="F927">
        <v>0</v>
      </c>
      <c r="G927">
        <v>3607.56</v>
      </c>
      <c r="H927">
        <v>3607.56</v>
      </c>
    </row>
    <row r="928" spans="1:8" x14ac:dyDescent="0.2">
      <c r="A928">
        <v>952</v>
      </c>
      <c r="B928">
        <v>9115</v>
      </c>
      <c r="C928" t="s">
        <v>847</v>
      </c>
      <c r="D928">
        <v>87600.27</v>
      </c>
      <c r="E928">
        <v>87600.27</v>
      </c>
      <c r="F928">
        <v>10517</v>
      </c>
      <c r="G928">
        <v>6908.71</v>
      </c>
      <c r="H928">
        <v>6908.71</v>
      </c>
    </row>
    <row r="929" spans="1:8" x14ac:dyDescent="0.2">
      <c r="A929">
        <v>952</v>
      </c>
      <c r="B929" t="s">
        <v>702</v>
      </c>
      <c r="C929" t="s">
        <v>703</v>
      </c>
      <c r="D929">
        <v>680242</v>
      </c>
      <c r="E929">
        <v>680242</v>
      </c>
      <c r="F929">
        <v>625600</v>
      </c>
      <c r="G929">
        <v>625600</v>
      </c>
      <c r="H929">
        <v>625600</v>
      </c>
    </row>
    <row r="930" spans="1:8" x14ac:dyDescent="0.2">
      <c r="A930">
        <v>952</v>
      </c>
      <c r="B930">
        <v>9116</v>
      </c>
      <c r="C930" t="s">
        <v>922</v>
      </c>
      <c r="D930">
        <v>-108</v>
      </c>
      <c r="E930">
        <v>46921.63</v>
      </c>
      <c r="F930">
        <v>48616</v>
      </c>
      <c r="G930">
        <v>48615.98</v>
      </c>
      <c r="H930">
        <v>48615.98</v>
      </c>
    </row>
    <row r="931" spans="1:8" x14ac:dyDescent="0.2">
      <c r="A931">
        <v>952</v>
      </c>
      <c r="B931">
        <v>9117</v>
      </c>
      <c r="C931" t="s">
        <v>808</v>
      </c>
      <c r="D931">
        <v>15952.23</v>
      </c>
      <c r="E931">
        <v>81152.5</v>
      </c>
      <c r="F931">
        <v>80262</v>
      </c>
      <c r="G931">
        <v>80261.960000000006</v>
      </c>
      <c r="H931">
        <v>80261.960000000006</v>
      </c>
    </row>
    <row r="932" spans="1:8" x14ac:dyDescent="0.2">
      <c r="A932">
        <v>952</v>
      </c>
      <c r="B932">
        <v>9118</v>
      </c>
      <c r="C932" t="s">
        <v>1163</v>
      </c>
      <c r="D932">
        <v>0</v>
      </c>
      <c r="E932">
        <v>5934.58</v>
      </c>
      <c r="F932">
        <v>0</v>
      </c>
      <c r="G932">
        <v>10948.83</v>
      </c>
      <c r="H932">
        <v>10948.83</v>
      </c>
    </row>
    <row r="933" spans="1:8" x14ac:dyDescent="0.2">
      <c r="A933">
        <v>952</v>
      </c>
      <c r="B933">
        <v>9120</v>
      </c>
      <c r="C933" t="s">
        <v>704</v>
      </c>
      <c r="D933">
        <v>458826.92</v>
      </c>
      <c r="E933">
        <v>458826.92</v>
      </c>
      <c r="F933">
        <v>249776</v>
      </c>
      <c r="G933">
        <v>249776.25</v>
      </c>
      <c r="H933">
        <v>249776.25</v>
      </c>
    </row>
    <row r="934" spans="1:8" x14ac:dyDescent="0.2">
      <c r="A934">
        <v>952</v>
      </c>
      <c r="B934">
        <v>9121</v>
      </c>
      <c r="C934" t="s">
        <v>705</v>
      </c>
      <c r="D934">
        <v>0</v>
      </c>
      <c r="E934">
        <v>0</v>
      </c>
      <c r="F934">
        <v>0</v>
      </c>
      <c r="G934">
        <v>0</v>
      </c>
      <c r="H934">
        <v>0</v>
      </c>
    </row>
    <row r="935" spans="1:8" x14ac:dyDescent="0.2">
      <c r="A935">
        <v>952</v>
      </c>
      <c r="B935">
        <v>9127</v>
      </c>
      <c r="C935" t="s">
        <v>706</v>
      </c>
      <c r="D935">
        <v>-1135.21</v>
      </c>
      <c r="E935">
        <v>2007.6</v>
      </c>
      <c r="F935">
        <v>3143</v>
      </c>
      <c r="G935">
        <v>3142.81</v>
      </c>
      <c r="H935">
        <v>3142.81</v>
      </c>
    </row>
    <row r="936" spans="1:8" x14ac:dyDescent="0.2">
      <c r="A936">
        <v>952</v>
      </c>
      <c r="B936">
        <v>9300</v>
      </c>
      <c r="C936" t="s">
        <v>707</v>
      </c>
      <c r="D936">
        <v>26322.38</v>
      </c>
      <c r="E936">
        <v>-60511.64</v>
      </c>
      <c r="F936">
        <v>0</v>
      </c>
      <c r="G936">
        <v>-77628.91</v>
      </c>
      <c r="H936">
        <v>-77628.91</v>
      </c>
    </row>
    <row r="937" spans="1:8" x14ac:dyDescent="0.2">
      <c r="A937">
        <v>952</v>
      </c>
      <c r="B937">
        <v>9318</v>
      </c>
      <c r="C937" t="s">
        <v>923</v>
      </c>
      <c r="D937">
        <v>11761.68</v>
      </c>
      <c r="E937">
        <v>-114381.53</v>
      </c>
      <c r="F937">
        <v>-126143</v>
      </c>
      <c r="G937">
        <v>-126143.21</v>
      </c>
      <c r="H937">
        <v>-126143.21</v>
      </c>
    </row>
    <row r="938" spans="1:8" x14ac:dyDescent="0.2">
      <c r="A938">
        <v>952</v>
      </c>
      <c r="B938">
        <v>9319</v>
      </c>
      <c r="C938" t="s">
        <v>708</v>
      </c>
      <c r="D938">
        <v>-1558.88</v>
      </c>
      <c r="E938">
        <v>-8595.76</v>
      </c>
      <c r="F938">
        <v>-17034</v>
      </c>
      <c r="G938">
        <v>-7036.88</v>
      </c>
      <c r="H938">
        <v>-7036.88</v>
      </c>
    </row>
    <row r="939" spans="1:8" x14ac:dyDescent="0.2">
      <c r="A939">
        <v>952</v>
      </c>
      <c r="B939">
        <v>9320</v>
      </c>
      <c r="C939" t="s">
        <v>848</v>
      </c>
      <c r="D939">
        <v>-46735.15</v>
      </c>
      <c r="E939">
        <v>-46735.15</v>
      </c>
      <c r="F939">
        <v>-106857</v>
      </c>
      <c r="G939">
        <v>-39221.53</v>
      </c>
      <c r="H939">
        <v>-39221.53</v>
      </c>
    </row>
    <row r="940" spans="1:8" x14ac:dyDescent="0.2">
      <c r="A940">
        <v>952</v>
      </c>
      <c r="B940" t="s">
        <v>709</v>
      </c>
      <c r="C940" t="s">
        <v>703</v>
      </c>
      <c r="D940">
        <v>-680242</v>
      </c>
      <c r="E940">
        <v>-680242</v>
      </c>
      <c r="F940">
        <v>-625600</v>
      </c>
      <c r="G940">
        <v>-625600</v>
      </c>
      <c r="H940">
        <v>-625600</v>
      </c>
    </row>
    <row r="941" spans="1:8" x14ac:dyDescent="0.2">
      <c r="A941">
        <v>952</v>
      </c>
      <c r="B941">
        <v>9322</v>
      </c>
      <c r="C941" t="s">
        <v>1343</v>
      </c>
      <c r="D941">
        <v>-10000</v>
      </c>
      <c r="E941">
        <v>-10000</v>
      </c>
      <c r="F941">
        <v>0</v>
      </c>
      <c r="G941">
        <v>0</v>
      </c>
      <c r="H941">
        <v>0</v>
      </c>
    </row>
    <row r="942" spans="1:8" x14ac:dyDescent="0.2">
      <c r="A942">
        <v>952</v>
      </c>
      <c r="B942">
        <v>9329</v>
      </c>
      <c r="C942" t="s">
        <v>710</v>
      </c>
      <c r="D942">
        <v>0</v>
      </c>
      <c r="E942">
        <v>0</v>
      </c>
      <c r="F942">
        <v>-81000</v>
      </c>
      <c r="G942">
        <v>0</v>
      </c>
      <c r="H942">
        <v>0</v>
      </c>
    </row>
    <row r="943" spans="1:8" x14ac:dyDescent="0.2">
      <c r="A943">
        <v>952</v>
      </c>
      <c r="B943">
        <v>9331</v>
      </c>
      <c r="C943" t="s">
        <v>1164</v>
      </c>
      <c r="D943">
        <v>0</v>
      </c>
      <c r="E943">
        <v>-17963.759999999998</v>
      </c>
      <c r="F943">
        <v>0</v>
      </c>
      <c r="G943">
        <v>-17963.759999999998</v>
      </c>
      <c r="H943">
        <v>-17963.759999999998</v>
      </c>
    </row>
    <row r="944" spans="1:8" x14ac:dyDescent="0.2">
      <c r="A944">
        <v>952</v>
      </c>
      <c r="B944">
        <v>9332</v>
      </c>
      <c r="C944" t="s">
        <v>1165</v>
      </c>
      <c r="D944">
        <v>14.5</v>
      </c>
      <c r="E944">
        <v>414</v>
      </c>
      <c r="F944">
        <v>0</v>
      </c>
      <c r="G944">
        <v>-660</v>
      </c>
      <c r="H944">
        <v>-660</v>
      </c>
    </row>
    <row r="945" spans="1:8" x14ac:dyDescent="0.2">
      <c r="A945">
        <v>952</v>
      </c>
      <c r="B945">
        <v>9345</v>
      </c>
      <c r="C945" t="s">
        <v>1166</v>
      </c>
      <c r="D945">
        <v>-1199.79</v>
      </c>
      <c r="E945">
        <v>-49569.95</v>
      </c>
      <c r="F945">
        <v>-37763</v>
      </c>
      <c r="G945">
        <v>-30087.85</v>
      </c>
      <c r="H945">
        <v>-30087.85</v>
      </c>
    </row>
    <row r="946" spans="1:8" x14ac:dyDescent="0.2">
      <c r="A946">
        <v>952</v>
      </c>
      <c r="B946">
        <v>9350</v>
      </c>
      <c r="C946" t="s">
        <v>711</v>
      </c>
      <c r="D946">
        <v>0</v>
      </c>
      <c r="E946">
        <v>0</v>
      </c>
      <c r="F946">
        <v>0</v>
      </c>
      <c r="G946">
        <v>0</v>
      </c>
      <c r="H946">
        <v>0</v>
      </c>
    </row>
    <row r="947" spans="1:8" x14ac:dyDescent="0.2">
      <c r="A947">
        <v>952</v>
      </c>
      <c r="B947">
        <v>9370</v>
      </c>
      <c r="C947" t="s">
        <v>712</v>
      </c>
      <c r="D947">
        <v>0</v>
      </c>
      <c r="E947">
        <v>2641661.39</v>
      </c>
      <c r="F947">
        <v>2595331</v>
      </c>
      <c r="G947">
        <v>2464308.6800000002</v>
      </c>
      <c r="H947">
        <v>2464308.6800000002</v>
      </c>
    </row>
    <row r="948" spans="1:8" x14ac:dyDescent="0.2">
      <c r="A948">
        <v>952</v>
      </c>
      <c r="B948">
        <v>9388</v>
      </c>
      <c r="C948" t="s">
        <v>1167</v>
      </c>
      <c r="D948">
        <v>0</v>
      </c>
      <c r="E948">
        <v>0</v>
      </c>
      <c r="F948">
        <v>0</v>
      </c>
      <c r="G948">
        <v>0</v>
      </c>
      <c r="H948">
        <v>0</v>
      </c>
    </row>
    <row r="949" spans="1:8" x14ac:dyDescent="0.2">
      <c r="A949">
        <v>952</v>
      </c>
      <c r="B949">
        <v>9391</v>
      </c>
      <c r="C949" t="s">
        <v>62</v>
      </c>
      <c r="D949">
        <v>0</v>
      </c>
      <c r="E949">
        <v>0</v>
      </c>
      <c r="F949">
        <v>0</v>
      </c>
      <c r="G949">
        <v>0</v>
      </c>
      <c r="H949">
        <v>0</v>
      </c>
    </row>
    <row r="950" spans="1:8" x14ac:dyDescent="0.2">
      <c r="A950">
        <v>952</v>
      </c>
      <c r="B950">
        <v>9400</v>
      </c>
      <c r="C950" t="s">
        <v>713</v>
      </c>
      <c r="D950">
        <v>0</v>
      </c>
      <c r="E950">
        <v>0</v>
      </c>
      <c r="F950">
        <v>0</v>
      </c>
      <c r="G950">
        <v>0</v>
      </c>
      <c r="H950">
        <v>0</v>
      </c>
    </row>
    <row r="951" spans="1:8" x14ac:dyDescent="0.2">
      <c r="A951">
        <v>952</v>
      </c>
      <c r="B951">
        <v>9429</v>
      </c>
      <c r="C951" t="s">
        <v>710</v>
      </c>
      <c r="D951">
        <v>12006.64</v>
      </c>
      <c r="E951">
        <v>-133237</v>
      </c>
      <c r="F951">
        <v>-55933</v>
      </c>
      <c r="G951">
        <v>-121122</v>
      </c>
      <c r="H951">
        <v>-121122</v>
      </c>
    </row>
    <row r="952" spans="1:8" x14ac:dyDescent="0.2">
      <c r="A952">
        <v>952</v>
      </c>
      <c r="B952">
        <v>9431</v>
      </c>
      <c r="C952" t="s">
        <v>1168</v>
      </c>
      <c r="D952">
        <v>1496.98</v>
      </c>
      <c r="E952">
        <v>-31436.61</v>
      </c>
      <c r="F952">
        <v>0</v>
      </c>
      <c r="G952">
        <v>-49400.37</v>
      </c>
      <c r="H952">
        <v>-49400.37</v>
      </c>
    </row>
    <row r="953" spans="1:8" x14ac:dyDescent="0.2">
      <c r="A953">
        <v>952</v>
      </c>
      <c r="B953">
        <v>9432</v>
      </c>
      <c r="C953" t="s">
        <v>1165</v>
      </c>
      <c r="D953">
        <v>0</v>
      </c>
      <c r="E953">
        <v>0</v>
      </c>
      <c r="F953">
        <v>0</v>
      </c>
      <c r="G953">
        <v>-385</v>
      </c>
      <c r="H953">
        <v>-385</v>
      </c>
    </row>
    <row r="954" spans="1:8" x14ac:dyDescent="0.2">
      <c r="A954">
        <v>952</v>
      </c>
      <c r="B954">
        <v>9445</v>
      </c>
      <c r="C954" t="s">
        <v>1169</v>
      </c>
      <c r="D954">
        <v>1408.24</v>
      </c>
      <c r="E954">
        <v>-48693.35</v>
      </c>
      <c r="F954">
        <v>-27470</v>
      </c>
      <c r="G954">
        <v>-30158.46</v>
      </c>
      <c r="H954">
        <v>-30158.46</v>
      </c>
    </row>
    <row r="955" spans="1:8" x14ac:dyDescent="0.2">
      <c r="A955">
        <v>952</v>
      </c>
      <c r="B955">
        <v>9500</v>
      </c>
      <c r="C955" t="s">
        <v>714</v>
      </c>
      <c r="D955">
        <v>0</v>
      </c>
      <c r="E955" s="531">
        <v>-11223195.689999999</v>
      </c>
      <c r="F955">
        <v>-10298709</v>
      </c>
      <c r="G955">
        <v>-9803608.7899999991</v>
      </c>
      <c r="H955">
        <v>-9803608.7899999991</v>
      </c>
    </row>
    <row r="956" spans="1:8" x14ac:dyDescent="0.2">
      <c r="A956">
        <v>952</v>
      </c>
      <c r="B956">
        <v>9501</v>
      </c>
      <c r="C956" t="s">
        <v>715</v>
      </c>
      <c r="D956">
        <v>0</v>
      </c>
      <c r="E956">
        <v>0</v>
      </c>
      <c r="F956">
        <v>0</v>
      </c>
      <c r="G956">
        <v>0</v>
      </c>
      <c r="H956">
        <v>0</v>
      </c>
    </row>
    <row r="957" spans="1:8" x14ac:dyDescent="0.2">
      <c r="A957">
        <v>952</v>
      </c>
      <c r="B957">
        <v>9600</v>
      </c>
      <c r="C957" t="s">
        <v>716</v>
      </c>
      <c r="D957">
        <v>0</v>
      </c>
      <c r="E957">
        <v>0</v>
      </c>
      <c r="F957">
        <v>0</v>
      </c>
      <c r="G957">
        <v>0</v>
      </c>
      <c r="H957">
        <v>0</v>
      </c>
    </row>
    <row r="958" spans="1:8" x14ac:dyDescent="0.2">
      <c r="A958">
        <v>952</v>
      </c>
      <c r="B958">
        <v>9601</v>
      </c>
      <c r="C958" t="s">
        <v>885</v>
      </c>
      <c r="D958">
        <v>0</v>
      </c>
      <c r="E958">
        <v>-96.55</v>
      </c>
      <c r="F958">
        <v>0</v>
      </c>
      <c r="G958">
        <v>-96.55</v>
      </c>
      <c r="H958">
        <v>-96.55</v>
      </c>
    </row>
    <row r="959" spans="1:8" x14ac:dyDescent="0.2">
      <c r="A959">
        <v>952</v>
      </c>
      <c r="B959">
        <v>9602</v>
      </c>
      <c r="C959" t="s">
        <v>717</v>
      </c>
      <c r="D959">
        <v>0</v>
      </c>
      <c r="E959">
        <v>0</v>
      </c>
      <c r="F959">
        <v>-30866</v>
      </c>
      <c r="G959">
        <v>0</v>
      </c>
      <c r="H959">
        <v>0</v>
      </c>
    </row>
    <row r="960" spans="1:8" x14ac:dyDescent="0.2">
      <c r="A960">
        <v>952</v>
      </c>
      <c r="B960">
        <v>9603</v>
      </c>
      <c r="C960" t="s">
        <v>718</v>
      </c>
      <c r="D960">
        <v>0</v>
      </c>
      <c r="E960">
        <v>1302.77</v>
      </c>
      <c r="F960">
        <v>0</v>
      </c>
      <c r="G960">
        <v>1302.77</v>
      </c>
      <c r="H960">
        <v>1302.77</v>
      </c>
    </row>
    <row r="961" spans="1:8" x14ac:dyDescent="0.2">
      <c r="A961">
        <v>952</v>
      </c>
      <c r="B961">
        <v>9604</v>
      </c>
      <c r="C961" t="s">
        <v>719</v>
      </c>
      <c r="D961">
        <v>599476.31000000006</v>
      </c>
      <c r="E961">
        <v>0</v>
      </c>
      <c r="F961">
        <v>0</v>
      </c>
      <c r="G961">
        <v>0</v>
      </c>
      <c r="H961">
        <v>0</v>
      </c>
    </row>
    <row r="962" spans="1:8" x14ac:dyDescent="0.2">
      <c r="A962">
        <v>952</v>
      </c>
      <c r="B962">
        <v>9605</v>
      </c>
      <c r="C962" t="s">
        <v>720</v>
      </c>
      <c r="D962">
        <v>0</v>
      </c>
      <c r="E962">
        <v>0</v>
      </c>
      <c r="F962">
        <v>0</v>
      </c>
      <c r="G962">
        <v>0</v>
      </c>
      <c r="H962">
        <v>0</v>
      </c>
    </row>
    <row r="963" spans="1:8" x14ac:dyDescent="0.2">
      <c r="A963">
        <v>952</v>
      </c>
      <c r="B963">
        <v>9606</v>
      </c>
      <c r="C963" t="s">
        <v>877</v>
      </c>
      <c r="D963">
        <v>0</v>
      </c>
      <c r="E963">
        <v>-76.28</v>
      </c>
      <c r="F963">
        <v>0</v>
      </c>
      <c r="G963">
        <v>-76.28</v>
      </c>
      <c r="H963">
        <v>-76.28</v>
      </c>
    </row>
    <row r="964" spans="1:8" x14ac:dyDescent="0.2">
      <c r="A964">
        <v>952</v>
      </c>
      <c r="B964">
        <v>9607</v>
      </c>
      <c r="C964" t="s">
        <v>635</v>
      </c>
      <c r="D964">
        <v>0</v>
      </c>
      <c r="E964">
        <v>0</v>
      </c>
      <c r="F964">
        <v>0</v>
      </c>
      <c r="G964">
        <v>0</v>
      </c>
      <c r="H964">
        <v>0</v>
      </c>
    </row>
    <row r="965" spans="1:8" x14ac:dyDescent="0.2">
      <c r="A965">
        <v>952</v>
      </c>
      <c r="B965">
        <v>9608</v>
      </c>
      <c r="C965" t="s">
        <v>721</v>
      </c>
      <c r="D965">
        <v>0</v>
      </c>
      <c r="E965">
        <v>0</v>
      </c>
      <c r="F965">
        <v>0</v>
      </c>
      <c r="G965">
        <v>0</v>
      </c>
      <c r="H965">
        <v>0</v>
      </c>
    </row>
    <row r="966" spans="1:8" x14ac:dyDescent="0.2">
      <c r="A966">
        <v>952</v>
      </c>
      <c r="B966">
        <v>9609</v>
      </c>
      <c r="C966" t="s">
        <v>722</v>
      </c>
      <c r="D966">
        <v>0</v>
      </c>
      <c r="E966">
        <v>556.27</v>
      </c>
      <c r="F966">
        <v>0</v>
      </c>
      <c r="G966">
        <v>556.27</v>
      </c>
      <c r="H966">
        <v>556.27</v>
      </c>
    </row>
    <row r="967" spans="1:8" x14ac:dyDescent="0.2">
      <c r="A967">
        <v>952</v>
      </c>
      <c r="B967">
        <v>9610</v>
      </c>
      <c r="C967" t="s">
        <v>924</v>
      </c>
      <c r="D967">
        <v>0</v>
      </c>
      <c r="E967">
        <v>-3259.98</v>
      </c>
      <c r="F967">
        <v>0</v>
      </c>
      <c r="G967">
        <v>-3259.98</v>
      </c>
      <c r="H967">
        <v>-3259.98</v>
      </c>
    </row>
    <row r="968" spans="1:8" x14ac:dyDescent="0.2">
      <c r="A968">
        <v>952</v>
      </c>
      <c r="B968">
        <v>9611</v>
      </c>
      <c r="C968" t="s">
        <v>925</v>
      </c>
      <c r="D968">
        <v>608.49</v>
      </c>
      <c r="E968">
        <v>3.51</v>
      </c>
      <c r="F968">
        <v>0</v>
      </c>
      <c r="G968">
        <v>-4751.96</v>
      </c>
      <c r="H968">
        <v>-4751.96</v>
      </c>
    </row>
    <row r="969" spans="1:8" x14ac:dyDescent="0.2">
      <c r="A969">
        <v>952</v>
      </c>
      <c r="B969">
        <v>9612</v>
      </c>
      <c r="C969" t="s">
        <v>926</v>
      </c>
      <c r="D969">
        <v>0</v>
      </c>
      <c r="E969">
        <v>-316.86</v>
      </c>
      <c r="F969">
        <v>0</v>
      </c>
      <c r="G969">
        <v>-316.86</v>
      </c>
      <c r="H969">
        <v>-316.86</v>
      </c>
    </row>
    <row r="970" spans="1:8" x14ac:dyDescent="0.2">
      <c r="A970">
        <v>952</v>
      </c>
      <c r="B970">
        <v>9613</v>
      </c>
      <c r="C970" t="s">
        <v>723</v>
      </c>
      <c r="D970">
        <v>-2935.45</v>
      </c>
      <c r="E970">
        <v>-4172.22</v>
      </c>
      <c r="F970">
        <v>0</v>
      </c>
      <c r="G970">
        <v>-2818.69</v>
      </c>
      <c r="H970">
        <v>-2818.69</v>
      </c>
    </row>
    <row r="971" spans="1:8" x14ac:dyDescent="0.2">
      <c r="A971">
        <v>952</v>
      </c>
      <c r="B971">
        <v>9614</v>
      </c>
      <c r="C971" t="s">
        <v>724</v>
      </c>
      <c r="D971">
        <v>0</v>
      </c>
      <c r="E971">
        <v>3732.14</v>
      </c>
      <c r="F971">
        <v>0</v>
      </c>
      <c r="G971">
        <v>3732.14</v>
      </c>
      <c r="H971">
        <v>3732.14</v>
      </c>
    </row>
    <row r="972" spans="1:8" x14ac:dyDescent="0.2">
      <c r="A972">
        <v>952</v>
      </c>
      <c r="B972">
        <v>9615</v>
      </c>
      <c r="C972" t="s">
        <v>888</v>
      </c>
      <c r="D972">
        <v>0</v>
      </c>
      <c r="E972">
        <v>-16845.7</v>
      </c>
      <c r="F972">
        <v>0</v>
      </c>
      <c r="G972">
        <v>-16845.7</v>
      </c>
      <c r="H972">
        <v>-16845.7</v>
      </c>
    </row>
    <row r="973" spans="1:8" x14ac:dyDescent="0.2">
      <c r="A973">
        <v>952</v>
      </c>
      <c r="B973">
        <v>9616</v>
      </c>
      <c r="C973" t="s">
        <v>278</v>
      </c>
      <c r="D973">
        <v>0</v>
      </c>
      <c r="E973">
        <v>740.43</v>
      </c>
      <c r="F973">
        <v>0</v>
      </c>
      <c r="G973">
        <v>740.43</v>
      </c>
      <c r="H973">
        <v>740.43</v>
      </c>
    </row>
    <row r="974" spans="1:8" x14ac:dyDescent="0.2">
      <c r="A974">
        <v>952</v>
      </c>
      <c r="B974">
        <v>9617</v>
      </c>
      <c r="C974" t="s">
        <v>1260</v>
      </c>
      <c r="D974">
        <v>72.78</v>
      </c>
      <c r="E974">
        <v>-5876.41</v>
      </c>
      <c r="F974">
        <v>0</v>
      </c>
      <c r="G974">
        <v>-9031.52</v>
      </c>
      <c r="H974">
        <v>-9031.52</v>
      </c>
    </row>
    <row r="975" spans="1:8" x14ac:dyDescent="0.2">
      <c r="A975">
        <v>952</v>
      </c>
      <c r="B975">
        <v>9700</v>
      </c>
      <c r="C975" t="s">
        <v>725</v>
      </c>
      <c r="D975">
        <v>0</v>
      </c>
      <c r="E975">
        <v>0</v>
      </c>
      <c r="F975">
        <v>0</v>
      </c>
      <c r="G975">
        <v>0</v>
      </c>
      <c r="H975">
        <v>0</v>
      </c>
    </row>
    <row r="976" spans="1:8" x14ac:dyDescent="0.2">
      <c r="A976">
        <v>952</v>
      </c>
      <c r="B976">
        <v>9701</v>
      </c>
      <c r="C976" t="s">
        <v>927</v>
      </c>
      <c r="D976">
        <v>0</v>
      </c>
      <c r="E976" s="531">
        <v>-1034</v>
      </c>
      <c r="F976">
        <v>0</v>
      </c>
      <c r="G976">
        <v>-1034</v>
      </c>
      <c r="H976">
        <v>-1034</v>
      </c>
    </row>
    <row r="977" spans="1:8" x14ac:dyDescent="0.2">
      <c r="A977">
        <v>952</v>
      </c>
      <c r="B977">
        <v>9702</v>
      </c>
      <c r="C977" t="s">
        <v>928</v>
      </c>
      <c r="D977">
        <v>1304.3499999999999</v>
      </c>
      <c r="E977" s="531">
        <v>-9086.9500000000007</v>
      </c>
      <c r="F977">
        <v>0</v>
      </c>
      <c r="G977">
        <v>-10391.299999999999</v>
      </c>
      <c r="H977">
        <v>-10391.299999999999</v>
      </c>
    </row>
    <row r="978" spans="1:8" x14ac:dyDescent="0.2">
      <c r="A978">
        <v>952</v>
      </c>
      <c r="B978">
        <v>9703</v>
      </c>
      <c r="C978" t="s">
        <v>929</v>
      </c>
      <c r="D978">
        <v>0</v>
      </c>
      <c r="E978" s="531">
        <v>-3213</v>
      </c>
      <c r="F978">
        <v>0</v>
      </c>
      <c r="G978">
        <v>-3213</v>
      </c>
      <c r="H978">
        <v>-3213</v>
      </c>
    </row>
    <row r="979" spans="1:8" x14ac:dyDescent="0.2">
      <c r="A979">
        <v>952</v>
      </c>
      <c r="B979">
        <v>9704</v>
      </c>
      <c r="C979" t="s">
        <v>930</v>
      </c>
      <c r="D979">
        <v>0</v>
      </c>
      <c r="E979" s="531">
        <v>-48500.959999999999</v>
      </c>
      <c r="F979">
        <v>0</v>
      </c>
      <c r="G979">
        <v>-48500.959999999999</v>
      </c>
      <c r="H979">
        <v>-48500.959999999999</v>
      </c>
    </row>
    <row r="980" spans="1:8" x14ac:dyDescent="0.2">
      <c r="A980">
        <v>952</v>
      </c>
      <c r="B980">
        <v>9705</v>
      </c>
      <c r="C980" t="s">
        <v>931</v>
      </c>
      <c r="D980">
        <v>0</v>
      </c>
      <c r="E980" s="531">
        <v>-89316</v>
      </c>
      <c r="F980">
        <v>0</v>
      </c>
      <c r="G980">
        <v>-89316</v>
      </c>
      <c r="H980">
        <v>-89316</v>
      </c>
    </row>
    <row r="981" spans="1:8" x14ac:dyDescent="0.2">
      <c r="A981">
        <v>952</v>
      </c>
      <c r="B981">
        <v>9706</v>
      </c>
      <c r="C981" t="s">
        <v>932</v>
      </c>
      <c r="D981">
        <v>0</v>
      </c>
      <c r="E981" s="531">
        <v>-29477.48</v>
      </c>
      <c r="F981">
        <v>0</v>
      </c>
      <c r="G981">
        <v>-29477.48</v>
      </c>
      <c r="H981">
        <v>-29477.48</v>
      </c>
    </row>
    <row r="982" spans="1:8" x14ac:dyDescent="0.2">
      <c r="A982">
        <v>952</v>
      </c>
      <c r="B982">
        <v>9707</v>
      </c>
      <c r="C982" t="s">
        <v>933</v>
      </c>
      <c r="D982">
        <v>0</v>
      </c>
      <c r="E982" s="531">
        <v>-548</v>
      </c>
      <c r="F982">
        <v>0</v>
      </c>
      <c r="G982">
        <v>-548</v>
      </c>
      <c r="H982">
        <v>-548</v>
      </c>
    </row>
    <row r="983" spans="1:8" x14ac:dyDescent="0.2">
      <c r="A983">
        <v>952</v>
      </c>
      <c r="B983">
        <v>9708</v>
      </c>
      <c r="C983" t="s">
        <v>934</v>
      </c>
      <c r="D983">
        <v>0</v>
      </c>
      <c r="E983" s="531">
        <v>-4513</v>
      </c>
      <c r="F983">
        <v>0</v>
      </c>
      <c r="G983">
        <v>-4513</v>
      </c>
      <c r="H983">
        <v>-4513</v>
      </c>
    </row>
    <row r="984" spans="1:8" x14ac:dyDescent="0.2">
      <c r="A984">
        <v>952</v>
      </c>
      <c r="B984">
        <v>9709</v>
      </c>
      <c r="C984" t="s">
        <v>935</v>
      </c>
      <c r="D984">
        <v>0</v>
      </c>
      <c r="E984" s="531">
        <v>0</v>
      </c>
      <c r="F984">
        <v>0</v>
      </c>
      <c r="G984">
        <v>0</v>
      </c>
      <c r="H984">
        <v>0</v>
      </c>
    </row>
    <row r="985" spans="1:8" x14ac:dyDescent="0.2">
      <c r="A985">
        <v>952</v>
      </c>
      <c r="B985">
        <v>9710</v>
      </c>
      <c r="C985" t="s">
        <v>936</v>
      </c>
      <c r="D985">
        <v>0</v>
      </c>
      <c r="E985" s="531">
        <v>-2951</v>
      </c>
      <c r="F985">
        <v>0</v>
      </c>
      <c r="G985">
        <v>-2951</v>
      </c>
      <c r="H985">
        <v>-2951</v>
      </c>
    </row>
    <row r="986" spans="1:8" x14ac:dyDescent="0.2">
      <c r="A986">
        <v>952</v>
      </c>
      <c r="B986">
        <v>9711</v>
      </c>
      <c r="C986" t="s">
        <v>937</v>
      </c>
      <c r="D986">
        <v>0</v>
      </c>
      <c r="E986" s="531">
        <v>-11422</v>
      </c>
      <c r="F986">
        <v>0</v>
      </c>
      <c r="G986">
        <v>-11422</v>
      </c>
      <c r="H986">
        <v>-11422</v>
      </c>
    </row>
    <row r="987" spans="1:8" x14ac:dyDescent="0.2">
      <c r="A987">
        <v>952</v>
      </c>
      <c r="B987">
        <v>9712</v>
      </c>
      <c r="C987" t="s">
        <v>938</v>
      </c>
      <c r="D987">
        <v>0</v>
      </c>
      <c r="E987" s="531">
        <v>-6661</v>
      </c>
      <c r="F987">
        <v>0</v>
      </c>
      <c r="G987">
        <v>-6661</v>
      </c>
      <c r="H987">
        <v>-6661</v>
      </c>
    </row>
    <row r="988" spans="1:8" x14ac:dyDescent="0.2">
      <c r="A988">
        <v>952</v>
      </c>
      <c r="B988">
        <v>9998</v>
      </c>
      <c r="C988" t="s">
        <v>726</v>
      </c>
      <c r="D988">
        <v>0</v>
      </c>
      <c r="E988">
        <v>0</v>
      </c>
      <c r="F988">
        <v>0</v>
      </c>
      <c r="G988">
        <v>0</v>
      </c>
      <c r="H988">
        <v>0</v>
      </c>
    </row>
    <row r="989" spans="1:8" x14ac:dyDescent="0.2">
      <c r="A989">
        <v>952</v>
      </c>
      <c r="B989">
        <v>9999</v>
      </c>
      <c r="C989" t="s">
        <v>727</v>
      </c>
      <c r="D989">
        <v>0</v>
      </c>
      <c r="E989">
        <v>0</v>
      </c>
      <c r="F989">
        <v>0</v>
      </c>
      <c r="G989">
        <v>0</v>
      </c>
      <c r="H989">
        <v>0</v>
      </c>
    </row>
    <row r="990" spans="1:8" x14ac:dyDescent="0.2">
      <c r="A990">
        <v>952</v>
      </c>
      <c r="B990" t="s">
        <v>728</v>
      </c>
      <c r="C990" t="s">
        <v>729</v>
      </c>
      <c r="D990">
        <v>0</v>
      </c>
      <c r="E990">
        <v>0</v>
      </c>
      <c r="F990">
        <v>0</v>
      </c>
      <c r="G990">
        <v>0</v>
      </c>
      <c r="H990">
        <v>0</v>
      </c>
    </row>
    <row r="991" spans="1:8" x14ac:dyDescent="0.2">
      <c r="A991">
        <v>952</v>
      </c>
      <c r="B991" t="s">
        <v>730</v>
      </c>
      <c r="C991" t="s">
        <v>731</v>
      </c>
      <c r="D991">
        <v>0</v>
      </c>
      <c r="E991">
        <v>0</v>
      </c>
      <c r="F991">
        <v>0</v>
      </c>
      <c r="G991">
        <v>0</v>
      </c>
      <c r="H991">
        <v>0</v>
      </c>
    </row>
    <row r="992" spans="1:8" x14ac:dyDescent="0.2">
      <c r="A992">
        <v>952</v>
      </c>
      <c r="B992" t="s">
        <v>235</v>
      </c>
      <c r="C992" t="s">
        <v>1170</v>
      </c>
      <c r="D992">
        <v>-8490.64</v>
      </c>
      <c r="E992">
        <v>-8490.64</v>
      </c>
      <c r="F992">
        <v>0</v>
      </c>
      <c r="G992">
        <v>-6179.94</v>
      </c>
      <c r="H992">
        <v>-6179.94</v>
      </c>
    </row>
    <row r="993" spans="1:8" x14ac:dyDescent="0.2">
      <c r="A993">
        <v>952</v>
      </c>
      <c r="B993" t="s">
        <v>732</v>
      </c>
      <c r="C993" t="s">
        <v>939</v>
      </c>
      <c r="D993">
        <v>0</v>
      </c>
      <c r="E993">
        <v>4061.88</v>
      </c>
      <c r="F993">
        <v>5400</v>
      </c>
      <c r="G993">
        <v>8940.9</v>
      </c>
      <c r="H993">
        <v>8940.9</v>
      </c>
    </row>
    <row r="994" spans="1:8" x14ac:dyDescent="0.2">
      <c r="A994">
        <v>952</v>
      </c>
      <c r="B994" t="s">
        <v>733</v>
      </c>
      <c r="C994" t="s">
        <v>940</v>
      </c>
      <c r="D994">
        <v>2898.21</v>
      </c>
      <c r="E994">
        <v>71258.210000000006</v>
      </c>
      <c r="F994">
        <v>74430</v>
      </c>
      <c r="G994">
        <v>32159.23</v>
      </c>
      <c r="H994">
        <v>32159.23</v>
      </c>
    </row>
    <row r="995" spans="1:8" x14ac:dyDescent="0.2">
      <c r="A995">
        <v>952</v>
      </c>
      <c r="B995" t="s">
        <v>734</v>
      </c>
      <c r="C995" t="s">
        <v>1171</v>
      </c>
      <c r="D995">
        <v>0</v>
      </c>
      <c r="E995">
        <v>2032.16</v>
      </c>
      <c r="F995">
        <v>2400</v>
      </c>
      <c r="G995">
        <v>5368.52</v>
      </c>
      <c r="H995">
        <v>5368.52</v>
      </c>
    </row>
    <row r="996" spans="1:8" x14ac:dyDescent="0.2">
      <c r="A996">
        <v>952</v>
      </c>
      <c r="B996" t="s">
        <v>735</v>
      </c>
      <c r="C996" t="s">
        <v>941</v>
      </c>
      <c r="D996">
        <v>0</v>
      </c>
      <c r="E996">
        <v>2757.08</v>
      </c>
      <c r="F996">
        <v>1500</v>
      </c>
      <c r="G996">
        <v>7159.58</v>
      </c>
      <c r="H996">
        <v>7159.58</v>
      </c>
    </row>
    <row r="997" spans="1:8" x14ac:dyDescent="0.2">
      <c r="A997">
        <v>952</v>
      </c>
      <c r="B997" t="s">
        <v>736</v>
      </c>
      <c r="C997" t="s">
        <v>942</v>
      </c>
      <c r="D997">
        <v>0</v>
      </c>
      <c r="E997">
        <v>14871.67</v>
      </c>
      <c r="F997">
        <v>13900</v>
      </c>
      <c r="G997">
        <v>9447.1299999999992</v>
      </c>
      <c r="H997">
        <v>9447.1299999999992</v>
      </c>
    </row>
    <row r="998" spans="1:8" x14ac:dyDescent="0.2">
      <c r="A998">
        <v>952</v>
      </c>
      <c r="B998" t="s">
        <v>737</v>
      </c>
      <c r="C998" t="s">
        <v>943</v>
      </c>
      <c r="D998">
        <v>0</v>
      </c>
      <c r="E998">
        <v>2503.48</v>
      </c>
      <c r="F998">
        <v>3000</v>
      </c>
      <c r="G998">
        <v>5459.35</v>
      </c>
      <c r="H998">
        <v>5459.35</v>
      </c>
    </row>
    <row r="999" spans="1:8" x14ac:dyDescent="0.2">
      <c r="A999">
        <v>952</v>
      </c>
      <c r="B999" t="s">
        <v>738</v>
      </c>
      <c r="C999" t="s">
        <v>944</v>
      </c>
      <c r="D999">
        <v>0</v>
      </c>
      <c r="E999">
        <v>10628.8</v>
      </c>
      <c r="F999">
        <v>7100</v>
      </c>
      <c r="G999">
        <v>4492.6099999999997</v>
      </c>
      <c r="H999">
        <v>4492.6099999999997</v>
      </c>
    </row>
    <row r="1000" spans="1:8" x14ac:dyDescent="0.2">
      <c r="A1000">
        <v>952</v>
      </c>
      <c r="B1000" t="s">
        <v>739</v>
      </c>
      <c r="C1000" t="s">
        <v>945</v>
      </c>
      <c r="D1000">
        <v>0</v>
      </c>
      <c r="E1000">
        <v>1461.63</v>
      </c>
      <c r="F1000">
        <v>1500</v>
      </c>
      <c r="G1000">
        <v>724</v>
      </c>
      <c r="H1000">
        <v>724</v>
      </c>
    </row>
    <row r="1001" spans="1:8" x14ac:dyDescent="0.2">
      <c r="A1001">
        <v>952</v>
      </c>
      <c r="B1001" t="s">
        <v>740</v>
      </c>
      <c r="C1001" t="s">
        <v>946</v>
      </c>
      <c r="D1001">
        <v>0</v>
      </c>
      <c r="E1001">
        <v>1364.35</v>
      </c>
      <c r="F1001">
        <v>16500</v>
      </c>
      <c r="G1001">
        <v>2434.0700000000002</v>
      </c>
      <c r="H1001">
        <v>2434.0700000000002</v>
      </c>
    </row>
    <row r="1002" spans="1:8" x14ac:dyDescent="0.2">
      <c r="A1002">
        <v>952</v>
      </c>
      <c r="B1002" t="s">
        <v>741</v>
      </c>
      <c r="C1002" t="s">
        <v>947</v>
      </c>
      <c r="D1002">
        <v>0</v>
      </c>
      <c r="E1002">
        <v>0</v>
      </c>
      <c r="F1002">
        <v>28000</v>
      </c>
      <c r="G1002">
        <v>1190</v>
      </c>
      <c r="H1002">
        <v>1190</v>
      </c>
    </row>
    <row r="1003" spans="1:8" x14ac:dyDescent="0.2">
      <c r="A1003">
        <v>952</v>
      </c>
      <c r="B1003" t="s">
        <v>742</v>
      </c>
      <c r="C1003" t="s">
        <v>948</v>
      </c>
      <c r="D1003">
        <v>0</v>
      </c>
      <c r="E1003">
        <v>0</v>
      </c>
      <c r="F1003">
        <v>0</v>
      </c>
      <c r="G1003">
        <v>217636</v>
      </c>
      <c r="H1003">
        <v>217636</v>
      </c>
    </row>
    <row r="1004" spans="1:8" x14ac:dyDescent="0.2">
      <c r="A1004">
        <v>952</v>
      </c>
      <c r="B1004" t="s">
        <v>743</v>
      </c>
      <c r="C1004" t="s">
        <v>744</v>
      </c>
      <c r="D1004">
        <v>0</v>
      </c>
      <c r="E1004">
        <v>0</v>
      </c>
      <c r="F1004">
        <v>0</v>
      </c>
      <c r="G1004">
        <v>0</v>
      </c>
      <c r="H1004">
        <v>0</v>
      </c>
    </row>
    <row r="1005" spans="1:8" x14ac:dyDescent="0.2">
      <c r="A1005">
        <v>952</v>
      </c>
      <c r="B1005" t="s">
        <v>745</v>
      </c>
      <c r="C1005" t="s">
        <v>949</v>
      </c>
      <c r="D1005">
        <v>0</v>
      </c>
      <c r="E1005">
        <v>42455.360000000001</v>
      </c>
      <c r="F1005">
        <v>27300</v>
      </c>
      <c r="G1005">
        <v>1562.61</v>
      </c>
      <c r="H1005">
        <v>1562.61</v>
      </c>
    </row>
    <row r="1006" spans="1:8" x14ac:dyDescent="0.2">
      <c r="A1006">
        <v>952</v>
      </c>
      <c r="B1006" t="s">
        <v>754</v>
      </c>
      <c r="C1006" t="s">
        <v>950</v>
      </c>
      <c r="D1006">
        <v>0</v>
      </c>
      <c r="E1006">
        <v>2661.63</v>
      </c>
      <c r="F1006">
        <v>5487</v>
      </c>
      <c r="G1006">
        <v>1608.19</v>
      </c>
      <c r="H1006">
        <v>1608.19</v>
      </c>
    </row>
    <row r="1007" spans="1:8" x14ac:dyDescent="0.2">
      <c r="A1007">
        <v>952</v>
      </c>
      <c r="B1007" t="s">
        <v>755</v>
      </c>
      <c r="C1007" t="s">
        <v>951</v>
      </c>
      <c r="D1007">
        <v>0</v>
      </c>
      <c r="E1007">
        <v>570</v>
      </c>
      <c r="F1007">
        <v>0</v>
      </c>
      <c r="G1007">
        <v>5454.22</v>
      </c>
      <c r="H1007">
        <v>5454.22</v>
      </c>
    </row>
    <row r="1008" spans="1:8" x14ac:dyDescent="0.2">
      <c r="A1008">
        <v>952</v>
      </c>
      <c r="B1008" t="s">
        <v>756</v>
      </c>
      <c r="C1008" t="s">
        <v>952</v>
      </c>
      <c r="D1008">
        <v>1467.52</v>
      </c>
      <c r="E1008">
        <v>5622.52</v>
      </c>
      <c r="F1008">
        <v>8350</v>
      </c>
      <c r="G1008">
        <v>47871.01</v>
      </c>
      <c r="H1008">
        <v>47871.01</v>
      </c>
    </row>
    <row r="1009" spans="1:8" x14ac:dyDescent="0.2">
      <c r="A1009">
        <v>952</v>
      </c>
      <c r="B1009" t="s">
        <v>757</v>
      </c>
      <c r="C1009" t="s">
        <v>953</v>
      </c>
      <c r="D1009">
        <v>12114.45</v>
      </c>
      <c r="E1009">
        <v>16022.52</v>
      </c>
      <c r="F1009">
        <v>29600</v>
      </c>
      <c r="G1009">
        <v>4457</v>
      </c>
      <c r="H1009">
        <v>4457</v>
      </c>
    </row>
    <row r="1010" spans="1:8" x14ac:dyDescent="0.2">
      <c r="A1010">
        <v>952</v>
      </c>
      <c r="B1010" t="s">
        <v>758</v>
      </c>
      <c r="C1010" t="s">
        <v>954</v>
      </c>
      <c r="D1010">
        <v>0</v>
      </c>
      <c r="E1010">
        <v>16119.53</v>
      </c>
      <c r="F1010">
        <v>21548</v>
      </c>
      <c r="G1010">
        <v>20461.23</v>
      </c>
      <c r="H1010">
        <v>20461.23</v>
      </c>
    </row>
    <row r="1011" spans="1:8" x14ac:dyDescent="0.2">
      <c r="A1011">
        <v>952</v>
      </c>
      <c r="B1011" t="s">
        <v>759</v>
      </c>
      <c r="C1011" t="s">
        <v>955</v>
      </c>
      <c r="D1011">
        <v>0</v>
      </c>
      <c r="E1011">
        <v>10800.69</v>
      </c>
      <c r="F1011">
        <v>10000</v>
      </c>
      <c r="G1011">
        <v>-4424.2299999999996</v>
      </c>
      <c r="H1011">
        <v>-4424.2299999999996</v>
      </c>
    </row>
    <row r="1012" spans="1:8" x14ac:dyDescent="0.2">
      <c r="A1012">
        <v>952</v>
      </c>
      <c r="B1012" t="s">
        <v>760</v>
      </c>
      <c r="C1012" t="s">
        <v>761</v>
      </c>
      <c r="D1012">
        <v>0</v>
      </c>
      <c r="E1012">
        <v>0</v>
      </c>
      <c r="F1012">
        <v>0</v>
      </c>
      <c r="G1012">
        <v>0</v>
      </c>
      <c r="H1012">
        <v>0</v>
      </c>
    </row>
    <row r="1013" spans="1:8" x14ac:dyDescent="0.2">
      <c r="A1013">
        <v>952</v>
      </c>
      <c r="B1013" t="s">
        <v>762</v>
      </c>
      <c r="C1013" t="s">
        <v>763</v>
      </c>
      <c r="D1013">
        <v>0</v>
      </c>
      <c r="E1013">
        <v>0</v>
      </c>
      <c r="F1013">
        <v>0</v>
      </c>
      <c r="G1013">
        <v>0</v>
      </c>
      <c r="H1013">
        <v>0</v>
      </c>
    </row>
    <row r="1014" spans="1:8" x14ac:dyDescent="0.2">
      <c r="A1014">
        <v>952</v>
      </c>
      <c r="B1014" t="s">
        <v>764</v>
      </c>
      <c r="C1014" t="s">
        <v>956</v>
      </c>
      <c r="D1014">
        <v>0</v>
      </c>
      <c r="E1014">
        <v>890</v>
      </c>
      <c r="F1014">
        <v>0</v>
      </c>
      <c r="G1014">
        <v>1247.48</v>
      </c>
      <c r="H1014">
        <v>1247.48</v>
      </c>
    </row>
    <row r="1015" spans="1:8" x14ac:dyDescent="0.2">
      <c r="A1015">
        <v>952</v>
      </c>
      <c r="B1015" t="s">
        <v>765</v>
      </c>
      <c r="C1015" t="s">
        <v>766</v>
      </c>
      <c r="D1015">
        <v>0</v>
      </c>
      <c r="E1015">
        <v>1461.63</v>
      </c>
      <c r="F1015">
        <v>3000</v>
      </c>
      <c r="G1015">
        <v>7379.35</v>
      </c>
      <c r="H1015">
        <v>7379.35</v>
      </c>
    </row>
    <row r="1016" spans="1:8" x14ac:dyDescent="0.2">
      <c r="A1016">
        <v>952</v>
      </c>
      <c r="B1016" t="s">
        <v>236</v>
      </c>
      <c r="C1016" t="s">
        <v>1172</v>
      </c>
      <c r="D1016">
        <v>0</v>
      </c>
      <c r="E1016">
        <v>7845.66</v>
      </c>
      <c r="F1016">
        <v>4800</v>
      </c>
      <c r="G1016">
        <v>4364.33</v>
      </c>
      <c r="H1016">
        <v>4364.33</v>
      </c>
    </row>
    <row r="1017" spans="1:8" x14ac:dyDescent="0.2">
      <c r="A1017">
        <v>952</v>
      </c>
      <c r="B1017" t="s">
        <v>237</v>
      </c>
      <c r="C1017" t="s">
        <v>238</v>
      </c>
      <c r="D1017">
        <v>0</v>
      </c>
      <c r="E1017">
        <v>3268.03</v>
      </c>
      <c r="F1017">
        <v>22755</v>
      </c>
      <c r="G1017">
        <v>6349.11</v>
      </c>
      <c r="H1017">
        <v>6349.11</v>
      </c>
    </row>
    <row r="1018" spans="1:8" x14ac:dyDescent="0.2">
      <c r="A1018">
        <v>952</v>
      </c>
      <c r="B1018" t="s">
        <v>767</v>
      </c>
      <c r="C1018" t="s">
        <v>768</v>
      </c>
      <c r="D1018">
        <v>0</v>
      </c>
      <c r="E1018">
        <v>0</v>
      </c>
      <c r="F1018">
        <v>0</v>
      </c>
      <c r="G1018">
        <v>0</v>
      </c>
      <c r="H1018">
        <v>0</v>
      </c>
    </row>
    <row r="1019" spans="1:8" x14ac:dyDescent="0.2">
      <c r="A1019">
        <v>952</v>
      </c>
      <c r="B1019" t="s">
        <v>769</v>
      </c>
      <c r="C1019" t="s">
        <v>770</v>
      </c>
      <c r="D1019">
        <v>0</v>
      </c>
      <c r="E1019">
        <v>0</v>
      </c>
      <c r="F1019">
        <v>0</v>
      </c>
      <c r="G1019">
        <v>0</v>
      </c>
      <c r="H1019">
        <v>0</v>
      </c>
    </row>
    <row r="1020" spans="1:8" x14ac:dyDescent="0.2">
      <c r="A1020">
        <v>952</v>
      </c>
      <c r="B1020" t="s">
        <v>771</v>
      </c>
      <c r="C1020" t="s">
        <v>772</v>
      </c>
      <c r="D1020">
        <v>0</v>
      </c>
      <c r="E1020">
        <v>0</v>
      </c>
      <c r="F1020">
        <v>0</v>
      </c>
      <c r="G1020">
        <v>0</v>
      </c>
      <c r="H1020">
        <v>0</v>
      </c>
    </row>
    <row r="1021" spans="1:8" x14ac:dyDescent="0.2">
      <c r="A1021">
        <v>952</v>
      </c>
      <c r="B1021" t="s">
        <v>773</v>
      </c>
      <c r="C1021" t="s">
        <v>774</v>
      </c>
      <c r="D1021">
        <v>0</v>
      </c>
      <c r="E1021">
        <v>0</v>
      </c>
      <c r="F1021">
        <v>0</v>
      </c>
      <c r="G1021">
        <v>0</v>
      </c>
      <c r="H1021">
        <v>0</v>
      </c>
    </row>
    <row r="1022" spans="1:8" x14ac:dyDescent="0.2">
      <c r="A1022">
        <v>952</v>
      </c>
      <c r="B1022" t="s">
        <v>775</v>
      </c>
      <c r="C1022" t="s">
        <v>1033</v>
      </c>
      <c r="D1022">
        <v>0</v>
      </c>
      <c r="E1022">
        <v>0</v>
      </c>
      <c r="F1022">
        <v>0</v>
      </c>
      <c r="G1022">
        <v>0</v>
      </c>
      <c r="H1022">
        <v>0</v>
      </c>
    </row>
    <row r="1023" spans="1:8" x14ac:dyDescent="0.2">
      <c r="A1023">
        <v>952</v>
      </c>
      <c r="B1023" t="s">
        <v>776</v>
      </c>
      <c r="C1023" t="s">
        <v>984</v>
      </c>
      <c r="D1023">
        <v>0</v>
      </c>
      <c r="E1023">
        <v>0</v>
      </c>
      <c r="F1023">
        <v>0</v>
      </c>
      <c r="G1023">
        <v>0</v>
      </c>
      <c r="H1023">
        <v>0</v>
      </c>
    </row>
    <row r="1024" spans="1:8" x14ac:dyDescent="0.2">
      <c r="A1024">
        <v>952</v>
      </c>
      <c r="B1024" t="s">
        <v>777</v>
      </c>
      <c r="C1024" t="s">
        <v>778</v>
      </c>
      <c r="D1024">
        <v>0</v>
      </c>
      <c r="E1024">
        <v>0</v>
      </c>
      <c r="F1024">
        <v>0</v>
      </c>
      <c r="G1024">
        <v>0</v>
      </c>
      <c r="H1024">
        <v>0</v>
      </c>
    </row>
    <row r="1025" spans="1:8" x14ac:dyDescent="0.2">
      <c r="A1025">
        <v>952</v>
      </c>
      <c r="B1025" t="s">
        <v>779</v>
      </c>
      <c r="C1025" t="s">
        <v>780</v>
      </c>
      <c r="D1025">
        <v>0</v>
      </c>
      <c r="E1025">
        <v>0</v>
      </c>
      <c r="F1025">
        <v>0</v>
      </c>
      <c r="G1025">
        <v>0</v>
      </c>
      <c r="H1025">
        <v>0</v>
      </c>
    </row>
    <row r="1026" spans="1:8" x14ac:dyDescent="0.2">
      <c r="A1026">
        <v>952</v>
      </c>
      <c r="B1026" t="s">
        <v>781</v>
      </c>
      <c r="C1026" t="s">
        <v>782</v>
      </c>
      <c r="D1026">
        <v>0</v>
      </c>
      <c r="E1026">
        <v>0</v>
      </c>
      <c r="F1026">
        <v>0</v>
      </c>
      <c r="G1026">
        <v>0</v>
      </c>
      <c r="H1026">
        <v>0</v>
      </c>
    </row>
    <row r="1027" spans="1:8" x14ac:dyDescent="0.2">
      <c r="A1027">
        <v>952</v>
      </c>
      <c r="B1027" t="s">
        <v>783</v>
      </c>
      <c r="C1027" t="s">
        <v>784</v>
      </c>
      <c r="D1027">
        <v>86350</v>
      </c>
      <c r="E1027">
        <v>255886.27</v>
      </c>
      <c r="F1027">
        <v>3048100</v>
      </c>
      <c r="G1027">
        <v>123853.84</v>
      </c>
      <c r="H1027">
        <v>123853.84</v>
      </c>
    </row>
    <row r="1028" spans="1:8" x14ac:dyDescent="0.2">
      <c r="A1028">
        <v>952</v>
      </c>
      <c r="B1028" t="s">
        <v>785</v>
      </c>
      <c r="C1028" t="s">
        <v>786</v>
      </c>
      <c r="D1028">
        <v>0</v>
      </c>
      <c r="E1028">
        <v>0</v>
      </c>
      <c r="F1028">
        <v>0</v>
      </c>
      <c r="G1028">
        <v>0</v>
      </c>
      <c r="H1028">
        <v>0</v>
      </c>
    </row>
    <row r="1029" spans="1:8" x14ac:dyDescent="0.2">
      <c r="A1029">
        <v>952</v>
      </c>
      <c r="B1029" t="s">
        <v>787</v>
      </c>
      <c r="C1029" t="s">
        <v>788</v>
      </c>
      <c r="D1029">
        <v>0</v>
      </c>
      <c r="E1029">
        <v>0</v>
      </c>
      <c r="F1029">
        <v>0</v>
      </c>
      <c r="G1029">
        <v>0</v>
      </c>
      <c r="H1029">
        <v>0</v>
      </c>
    </row>
    <row r="1030" spans="1:8" x14ac:dyDescent="0.2">
      <c r="A1030">
        <v>952</v>
      </c>
      <c r="B1030" t="s">
        <v>789</v>
      </c>
      <c r="C1030" t="s">
        <v>957</v>
      </c>
      <c r="D1030">
        <v>0</v>
      </c>
      <c r="E1030">
        <v>0</v>
      </c>
      <c r="F1030">
        <v>0</v>
      </c>
      <c r="G1030">
        <v>20748.75</v>
      </c>
      <c r="H1030">
        <v>20748.75</v>
      </c>
    </row>
    <row r="1031" spans="1:8" x14ac:dyDescent="0.2">
      <c r="A1031">
        <v>952</v>
      </c>
      <c r="B1031" t="s">
        <v>239</v>
      </c>
      <c r="C1031" t="s">
        <v>240</v>
      </c>
      <c r="D1031">
        <v>0</v>
      </c>
      <c r="E1031">
        <v>0</v>
      </c>
      <c r="F1031">
        <v>0</v>
      </c>
      <c r="G1031">
        <v>0</v>
      </c>
      <c r="H1031">
        <v>0</v>
      </c>
    </row>
    <row r="1032" spans="1:8" x14ac:dyDescent="0.2">
      <c r="A1032">
        <v>952</v>
      </c>
      <c r="B1032" t="s">
        <v>1173</v>
      </c>
      <c r="C1032" t="s">
        <v>1033</v>
      </c>
      <c r="D1032">
        <v>0</v>
      </c>
      <c r="E1032">
        <v>0</v>
      </c>
      <c r="F1032">
        <v>0</v>
      </c>
      <c r="G1032">
        <v>0</v>
      </c>
      <c r="H1032">
        <v>0</v>
      </c>
    </row>
    <row r="1033" spans="1:8" x14ac:dyDescent="0.2">
      <c r="A1033">
        <v>952</v>
      </c>
      <c r="B1033" t="s">
        <v>1174</v>
      </c>
      <c r="C1033" t="s">
        <v>1175</v>
      </c>
      <c r="D1033">
        <v>2902.91</v>
      </c>
      <c r="E1033">
        <v>81827.53</v>
      </c>
      <c r="F1033">
        <v>0</v>
      </c>
      <c r="G1033">
        <v>43497.53</v>
      </c>
      <c r="H1033">
        <v>43497.53</v>
      </c>
    </row>
    <row r="1034" spans="1:8" x14ac:dyDescent="0.2">
      <c r="A1034">
        <v>952</v>
      </c>
      <c r="B1034" t="s">
        <v>790</v>
      </c>
      <c r="C1034" t="s">
        <v>807</v>
      </c>
      <c r="D1034">
        <v>-49392.82</v>
      </c>
      <c r="E1034">
        <v>-443582.45</v>
      </c>
      <c r="F1034">
        <v>0</v>
      </c>
      <c r="G1034">
        <v>-395909.16</v>
      </c>
      <c r="H1034">
        <v>-395909.16</v>
      </c>
    </row>
    <row r="1035" spans="1:8" x14ac:dyDescent="0.2">
      <c r="A1035">
        <v>952</v>
      </c>
      <c r="B1035" t="s">
        <v>791</v>
      </c>
      <c r="C1035" t="s">
        <v>792</v>
      </c>
      <c r="D1035">
        <v>0</v>
      </c>
      <c r="E1035">
        <v>0</v>
      </c>
      <c r="F1035">
        <v>0</v>
      </c>
      <c r="G1035">
        <v>0</v>
      </c>
      <c r="H1035">
        <v>0</v>
      </c>
    </row>
    <row r="1036" spans="1:8" x14ac:dyDescent="0.2">
      <c r="A1036">
        <v>952</v>
      </c>
      <c r="B1036" t="s">
        <v>795</v>
      </c>
      <c r="C1036" t="s">
        <v>796</v>
      </c>
      <c r="D1036">
        <v>0</v>
      </c>
      <c r="E1036">
        <v>0</v>
      </c>
      <c r="F1036">
        <v>0</v>
      </c>
      <c r="G1036">
        <v>0</v>
      </c>
      <c r="H1036">
        <v>0</v>
      </c>
    </row>
    <row r="1037" spans="1:8" x14ac:dyDescent="0.2">
      <c r="A1037">
        <v>952</v>
      </c>
      <c r="B1037" t="s">
        <v>797</v>
      </c>
      <c r="C1037" t="s">
        <v>798</v>
      </c>
      <c r="D1037">
        <v>0</v>
      </c>
      <c r="E1037">
        <v>0</v>
      </c>
      <c r="F1037">
        <v>0</v>
      </c>
      <c r="G1037">
        <v>0</v>
      </c>
      <c r="H1037">
        <v>0</v>
      </c>
    </row>
    <row r="1038" spans="1:8" x14ac:dyDescent="0.2">
      <c r="A1038">
        <v>952</v>
      </c>
      <c r="B1038" t="s">
        <v>1176</v>
      </c>
      <c r="C1038" t="s">
        <v>1177</v>
      </c>
      <c r="D1038">
        <v>0</v>
      </c>
      <c r="E1038">
        <v>0</v>
      </c>
      <c r="F1038">
        <v>0</v>
      </c>
      <c r="G1038">
        <v>0</v>
      </c>
      <c r="H1038">
        <v>0</v>
      </c>
    </row>
    <row r="1039" spans="1:8" x14ac:dyDescent="0.2">
      <c r="A1039">
        <v>952</v>
      </c>
      <c r="B1039" t="s">
        <v>1178</v>
      </c>
      <c r="C1039" t="s">
        <v>1177</v>
      </c>
      <c r="D1039">
        <v>0</v>
      </c>
      <c r="E1039">
        <v>0</v>
      </c>
      <c r="F1039">
        <v>0</v>
      </c>
      <c r="G1039">
        <v>0</v>
      </c>
      <c r="H1039">
        <v>0</v>
      </c>
    </row>
    <row r="1040" spans="1:8" x14ac:dyDescent="0.2">
      <c r="A1040">
        <v>952</v>
      </c>
      <c r="B1040" t="s">
        <v>1344</v>
      </c>
      <c r="C1040" t="s">
        <v>568</v>
      </c>
      <c r="D1040">
        <v>0</v>
      </c>
      <c r="E1040">
        <v>0</v>
      </c>
      <c r="F1040">
        <v>0</v>
      </c>
      <c r="G1040">
        <v>0</v>
      </c>
      <c r="H1040">
        <v>0</v>
      </c>
    </row>
    <row r="1041" spans="1:8" x14ac:dyDescent="0.2">
      <c r="A1041">
        <v>952</v>
      </c>
      <c r="B1041" t="s">
        <v>1269</v>
      </c>
      <c r="C1041" t="s">
        <v>1270</v>
      </c>
      <c r="D1041">
        <v>0</v>
      </c>
      <c r="E1041">
        <v>0</v>
      </c>
      <c r="F1041">
        <v>0</v>
      </c>
      <c r="G1041">
        <v>0</v>
      </c>
      <c r="H1041">
        <v>0</v>
      </c>
    </row>
    <row r="1042" spans="1:8" x14ac:dyDescent="0.2">
      <c r="A1042">
        <v>952</v>
      </c>
      <c r="B1042" t="s">
        <v>1345</v>
      </c>
      <c r="C1042" t="s">
        <v>793</v>
      </c>
      <c r="D1042">
        <v>0</v>
      </c>
      <c r="E1042">
        <v>-580583.67000000004</v>
      </c>
      <c r="F1042">
        <v>0</v>
      </c>
      <c r="G1042">
        <v>-580583.67000000004</v>
      </c>
      <c r="H1042">
        <v>-580583.67000000004</v>
      </c>
    </row>
    <row r="1043" spans="1:8" x14ac:dyDescent="0.2">
      <c r="A1043">
        <v>952</v>
      </c>
      <c r="B1043" t="s">
        <v>1346</v>
      </c>
      <c r="C1043" t="s">
        <v>794</v>
      </c>
      <c r="D1043">
        <v>0</v>
      </c>
      <c r="E1043">
        <v>580583.67000000004</v>
      </c>
      <c r="F1043">
        <v>0</v>
      </c>
      <c r="G1043">
        <v>580583.67000000004</v>
      </c>
      <c r="H1043">
        <v>580583.67000000004</v>
      </c>
    </row>
  </sheetData>
  <autoFilter ref="A1:J1016"/>
  <phoneticPr fontId="66"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40"/>
  <sheetViews>
    <sheetView topLeftCell="A16" zoomScaleNormal="100" zoomScaleSheetLayoutView="100" workbookViewId="0">
      <selection activeCell="D25" sqref="D25"/>
    </sheetView>
  </sheetViews>
  <sheetFormatPr defaultRowHeight="12.75" x14ac:dyDescent="0.2"/>
  <cols>
    <col min="1" max="3" width="9.140625" style="88"/>
    <col min="4" max="4" width="22.7109375" style="88" customWidth="1"/>
    <col min="5" max="16384" width="9.140625" style="88"/>
  </cols>
  <sheetData>
    <row r="1" spans="1:8" x14ac:dyDescent="0.2">
      <c r="A1" s="90"/>
      <c r="B1" s="90"/>
      <c r="C1" s="90"/>
      <c r="D1" s="90"/>
      <c r="E1" s="90"/>
      <c r="F1" s="90"/>
      <c r="G1" s="90"/>
      <c r="H1" s="90"/>
    </row>
    <row r="2" spans="1:8" x14ac:dyDescent="0.2">
      <c r="A2" s="90"/>
      <c r="B2" s="90"/>
      <c r="C2" s="90"/>
      <c r="D2" s="90"/>
      <c r="E2" s="90"/>
      <c r="F2" s="90"/>
      <c r="G2" s="90"/>
      <c r="H2" s="90"/>
    </row>
    <row r="3" spans="1:8" x14ac:dyDescent="0.2">
      <c r="A3" s="90"/>
      <c r="B3" s="90"/>
      <c r="C3" s="90"/>
      <c r="D3" s="90"/>
      <c r="E3" s="90"/>
      <c r="F3" s="90"/>
      <c r="G3" s="90"/>
      <c r="H3" s="90"/>
    </row>
    <row r="4" spans="1:8" x14ac:dyDescent="0.2">
      <c r="A4" s="90"/>
      <c r="B4" s="90"/>
      <c r="C4" s="90"/>
      <c r="D4" s="90"/>
      <c r="E4" s="90"/>
      <c r="F4" s="90"/>
      <c r="G4" s="90"/>
      <c r="H4" s="90"/>
    </row>
    <row r="5" spans="1:8" x14ac:dyDescent="0.2">
      <c r="A5" s="90"/>
      <c r="B5" s="90"/>
      <c r="C5" s="90"/>
      <c r="D5" s="90"/>
      <c r="E5" s="90"/>
      <c r="F5" s="90"/>
      <c r="G5" s="90"/>
      <c r="H5" s="90"/>
    </row>
    <row r="6" spans="1:8" x14ac:dyDescent="0.2">
      <c r="A6" s="90"/>
      <c r="B6" s="90"/>
      <c r="C6" s="90"/>
      <c r="D6" s="90"/>
      <c r="E6" s="90"/>
      <c r="F6" s="90"/>
      <c r="G6" s="90"/>
      <c r="H6" s="90"/>
    </row>
    <row r="7" spans="1:8" x14ac:dyDescent="0.2">
      <c r="A7" s="90"/>
      <c r="B7" s="90"/>
      <c r="C7" s="90"/>
      <c r="D7" s="90"/>
      <c r="E7" s="90"/>
      <c r="F7" s="90"/>
      <c r="G7" s="90"/>
      <c r="H7" s="90"/>
    </row>
    <row r="8" spans="1:8" x14ac:dyDescent="0.2">
      <c r="A8" s="90"/>
      <c r="B8" s="90"/>
      <c r="C8" s="90"/>
      <c r="D8" s="90"/>
      <c r="E8" s="90"/>
      <c r="F8" s="90"/>
      <c r="G8" s="90"/>
      <c r="H8" s="90"/>
    </row>
    <row r="9" spans="1:8" x14ac:dyDescent="0.2">
      <c r="A9" s="90"/>
      <c r="B9" s="90"/>
      <c r="C9" s="90"/>
      <c r="D9" s="90"/>
      <c r="E9" s="90"/>
      <c r="F9" s="90"/>
      <c r="G9" s="90"/>
      <c r="H9" s="90"/>
    </row>
    <row r="10" spans="1:8" x14ac:dyDescent="0.2">
      <c r="A10" s="90"/>
      <c r="B10" s="90"/>
      <c r="C10" s="90"/>
      <c r="D10" s="90"/>
      <c r="E10" s="90"/>
      <c r="F10" s="90"/>
      <c r="G10" s="90"/>
      <c r="H10" s="90"/>
    </row>
    <row r="11" spans="1:8" x14ac:dyDescent="0.2">
      <c r="A11" s="90"/>
      <c r="B11" s="90"/>
      <c r="C11" s="90"/>
      <c r="D11" s="90"/>
      <c r="E11" s="90"/>
      <c r="F11" s="90"/>
      <c r="G11" s="90"/>
      <c r="H11" s="90"/>
    </row>
    <row r="12" spans="1:8" x14ac:dyDescent="0.2">
      <c r="A12" s="90"/>
      <c r="B12" s="90"/>
      <c r="C12" s="90"/>
      <c r="D12" s="90"/>
      <c r="E12" s="90"/>
      <c r="F12" s="90"/>
      <c r="G12" s="90"/>
      <c r="H12" s="90"/>
    </row>
    <row r="13" spans="1:8" x14ac:dyDescent="0.2">
      <c r="A13" s="90"/>
      <c r="B13" s="90"/>
      <c r="C13" s="90"/>
      <c r="D13" s="90"/>
      <c r="E13" s="90"/>
      <c r="F13" s="90"/>
      <c r="G13" s="90"/>
      <c r="H13" s="90"/>
    </row>
    <row r="14" spans="1:8" x14ac:dyDescent="0.2">
      <c r="A14" s="90"/>
      <c r="B14" s="90"/>
      <c r="C14" s="90"/>
      <c r="D14" s="90"/>
      <c r="E14" s="90"/>
      <c r="F14" s="90"/>
      <c r="G14" s="90"/>
      <c r="H14" s="90"/>
    </row>
    <row r="15" spans="1:8" x14ac:dyDescent="0.2">
      <c r="A15" s="90"/>
      <c r="B15" s="90"/>
      <c r="C15" s="90"/>
      <c r="D15" s="90"/>
      <c r="E15" s="90"/>
      <c r="F15" s="90"/>
      <c r="G15" s="90"/>
      <c r="H15" s="90"/>
    </row>
    <row r="16" spans="1:8" x14ac:dyDescent="0.2">
      <c r="A16" s="90"/>
      <c r="B16" s="90"/>
      <c r="C16" s="90"/>
      <c r="D16" s="90"/>
      <c r="E16" s="90"/>
      <c r="F16" s="90"/>
      <c r="G16" s="90"/>
      <c r="H16" s="90"/>
    </row>
    <row r="17" spans="1:8" x14ac:dyDescent="0.2">
      <c r="A17" s="90"/>
      <c r="B17" s="90"/>
      <c r="C17" s="90"/>
      <c r="D17" s="90"/>
      <c r="E17" s="90"/>
      <c r="F17" s="90"/>
      <c r="G17" s="90"/>
      <c r="H17" s="90"/>
    </row>
    <row r="18" spans="1:8" ht="88.5" customHeight="1" x14ac:dyDescent="0.2">
      <c r="A18" s="581" t="str">
        <f>+Data!B6</f>
        <v>Blind and Low Vision Education Network NZ</v>
      </c>
      <c r="B18" s="578"/>
      <c r="C18" s="578"/>
      <c r="D18" s="578"/>
      <c r="E18" s="578"/>
      <c r="F18" s="578"/>
      <c r="G18" s="578"/>
      <c r="H18" s="578"/>
    </row>
    <row r="19" spans="1:8" x14ac:dyDescent="0.2">
      <c r="A19" s="90"/>
      <c r="B19" s="90"/>
      <c r="C19" s="90"/>
      <c r="D19" s="90"/>
      <c r="E19" s="90"/>
      <c r="F19" s="90"/>
      <c r="G19" s="90"/>
      <c r="H19" s="90"/>
    </row>
    <row r="20" spans="1:8" ht="25.5" x14ac:dyDescent="0.35">
      <c r="A20" s="106"/>
      <c r="B20" s="106"/>
      <c r="C20" s="90"/>
      <c r="D20" s="90"/>
      <c r="E20" s="105"/>
      <c r="F20" s="105"/>
      <c r="G20" s="105"/>
      <c r="H20" s="106"/>
    </row>
    <row r="21" spans="1:8" ht="30.75" thickBot="1" x14ac:dyDescent="0.45">
      <c r="A21" s="582" t="s">
        <v>1013</v>
      </c>
      <c r="B21" s="579"/>
      <c r="C21" s="579"/>
      <c r="D21" s="579"/>
      <c r="E21" s="579"/>
      <c r="F21" s="579"/>
      <c r="G21" s="579"/>
      <c r="H21" s="579"/>
    </row>
    <row r="22" spans="1:8" ht="30" customHeight="1" thickTop="1" x14ac:dyDescent="0.4">
      <c r="A22" s="585"/>
      <c r="B22" s="542"/>
      <c r="C22" s="542"/>
      <c r="D22" s="542"/>
      <c r="E22" s="542"/>
      <c r="F22" s="542"/>
      <c r="G22" s="542"/>
      <c r="H22" s="542"/>
    </row>
    <row r="23" spans="1:8" ht="26.25" x14ac:dyDescent="0.4">
      <c r="A23" s="583" t="s">
        <v>1292</v>
      </c>
      <c r="B23" s="580"/>
      <c r="C23" s="580"/>
      <c r="D23" s="580"/>
      <c r="E23" s="580"/>
      <c r="F23" s="580"/>
      <c r="G23" s="580"/>
      <c r="H23" s="580"/>
    </row>
    <row r="24" spans="1:8" ht="30" x14ac:dyDescent="0.4">
      <c r="A24" s="149"/>
      <c r="B24" s="149"/>
      <c r="C24" s="149"/>
      <c r="D24" s="149"/>
      <c r="E24" s="149"/>
      <c r="F24" s="149"/>
      <c r="G24" s="149"/>
      <c r="H24" s="149"/>
    </row>
    <row r="25" spans="1:8" ht="30" x14ac:dyDescent="0.4">
      <c r="A25" s="149"/>
      <c r="B25" s="149"/>
      <c r="C25" s="149"/>
      <c r="D25" s="149"/>
      <c r="E25" s="149"/>
      <c r="F25" s="149"/>
      <c r="G25" s="149"/>
      <c r="H25" s="149"/>
    </row>
    <row r="26" spans="1:8" ht="30" x14ac:dyDescent="0.4">
      <c r="A26" s="149"/>
      <c r="B26" s="149"/>
      <c r="C26" s="149"/>
      <c r="D26" s="149"/>
      <c r="E26" s="149"/>
      <c r="F26" s="149"/>
      <c r="G26" s="149"/>
      <c r="H26" s="149"/>
    </row>
    <row r="27" spans="1:8" ht="20.25" x14ac:dyDescent="0.3">
      <c r="A27" s="90"/>
      <c r="B27" s="90"/>
      <c r="C27" s="104"/>
      <c r="D27" s="90"/>
      <c r="E27" s="90"/>
      <c r="F27" s="90"/>
      <c r="G27" s="90"/>
      <c r="H27" s="90"/>
    </row>
    <row r="28" spans="1:8" ht="15" customHeight="1" x14ac:dyDescent="0.35">
      <c r="A28" s="103"/>
      <c r="B28" s="103"/>
      <c r="C28" s="103"/>
      <c r="D28" s="102" t="s">
        <v>1012</v>
      </c>
      <c r="E28" s="584" t="s">
        <v>1235</v>
      </c>
      <c r="F28" s="102"/>
      <c r="G28" s="102"/>
      <c r="H28" s="101"/>
    </row>
    <row r="29" spans="1:8" ht="15" customHeight="1" x14ac:dyDescent="0.35">
      <c r="A29" s="103"/>
      <c r="B29" s="103"/>
      <c r="C29" s="103"/>
      <c r="D29" s="102"/>
      <c r="E29" s="102"/>
      <c r="F29" s="102"/>
      <c r="G29" s="102"/>
      <c r="H29" s="101"/>
    </row>
    <row r="30" spans="1:8" ht="15" customHeight="1" x14ac:dyDescent="0.35">
      <c r="A30" s="103"/>
      <c r="B30" s="103"/>
      <c r="C30" s="103"/>
      <c r="D30" s="102"/>
      <c r="E30" s="2"/>
      <c r="F30" s="2"/>
      <c r="G30" s="101"/>
      <c r="H30" s="101"/>
    </row>
    <row r="31" spans="1:8" ht="15" customHeight="1" x14ac:dyDescent="0.35">
      <c r="A31" s="100"/>
      <c r="B31" s="100"/>
      <c r="C31" s="100"/>
      <c r="D31" s="99" t="s">
        <v>1011</v>
      </c>
      <c r="E31" s="584" t="s">
        <v>889</v>
      </c>
      <c r="F31" s="102"/>
      <c r="G31" s="102"/>
      <c r="H31" s="98"/>
    </row>
    <row r="32" spans="1:8" ht="15" customHeight="1" x14ac:dyDescent="0.3">
      <c r="A32" s="90"/>
      <c r="B32" s="90"/>
      <c r="C32" s="97"/>
      <c r="D32" s="96"/>
      <c r="E32" s="102"/>
      <c r="F32" s="102"/>
      <c r="G32" s="102"/>
      <c r="H32" s="95"/>
    </row>
    <row r="33" spans="1:8" ht="15" customHeight="1" x14ac:dyDescent="0.3">
      <c r="A33" s="90"/>
      <c r="B33" s="90"/>
      <c r="C33" s="97"/>
      <c r="D33" s="96"/>
      <c r="E33" s="2"/>
      <c r="F33" s="2"/>
      <c r="G33" s="95"/>
      <c r="H33" s="95"/>
    </row>
    <row r="34" spans="1:8" ht="15" customHeight="1" x14ac:dyDescent="0.2">
      <c r="A34" s="102"/>
      <c r="B34" s="92"/>
      <c r="C34" s="92"/>
      <c r="D34" s="92" t="s">
        <v>1010</v>
      </c>
      <c r="E34" s="543" t="s">
        <v>890</v>
      </c>
      <c r="F34" s="541"/>
      <c r="G34" s="94"/>
      <c r="H34" s="94"/>
    </row>
    <row r="35" spans="1:8" ht="15" customHeight="1" x14ac:dyDescent="0.2">
      <c r="A35" s="102"/>
      <c r="B35" s="92"/>
      <c r="C35" s="92"/>
      <c r="D35" s="92"/>
      <c r="E35" s="92"/>
      <c r="F35" s="6"/>
      <c r="G35" s="94"/>
      <c r="H35" s="94"/>
    </row>
    <row r="36" spans="1:8" ht="15" customHeight="1" x14ac:dyDescent="0.2">
      <c r="A36" s="153"/>
      <c r="B36" s="93"/>
      <c r="C36" s="93"/>
      <c r="D36" s="92" t="s">
        <v>1009</v>
      </c>
      <c r="E36" s="543" t="s">
        <v>891</v>
      </c>
      <c r="F36" s="541"/>
      <c r="G36" s="91"/>
      <c r="H36" s="91"/>
    </row>
    <row r="37" spans="1:8" ht="15" customHeight="1" x14ac:dyDescent="0.2">
      <c r="A37" s="153"/>
      <c r="B37" s="93"/>
      <c r="C37" s="93"/>
      <c r="D37" s="92"/>
      <c r="E37" s="92"/>
      <c r="F37" s="6"/>
      <c r="G37" s="91"/>
      <c r="H37" s="91"/>
    </row>
    <row r="38" spans="1:8" ht="15" customHeight="1" x14ac:dyDescent="0.2">
      <c r="A38" s="90"/>
      <c r="B38" s="90"/>
      <c r="C38" s="90"/>
      <c r="D38" s="89" t="s">
        <v>1008</v>
      </c>
      <c r="E38" s="540" t="s">
        <v>629</v>
      </c>
      <c r="F38" s="541"/>
      <c r="G38" s="541"/>
      <c r="H38" s="541"/>
    </row>
    <row r="40" spans="1:8" x14ac:dyDescent="0.2">
      <c r="D40" s="88" t="s">
        <v>1007</v>
      </c>
      <c r="E40" s="88">
        <v>4156</v>
      </c>
    </row>
  </sheetData>
  <phoneticPr fontId="66" type="noConversion"/>
  <hyperlinks>
    <hyperlink ref="E38"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4:AA42"/>
  <sheetViews>
    <sheetView view="pageBreakPreview" topLeftCell="B3" zoomScale="96" zoomScaleNormal="100" zoomScaleSheetLayoutView="96" workbookViewId="0">
      <selection activeCell="D11" sqref="D11:E11"/>
    </sheetView>
  </sheetViews>
  <sheetFormatPr defaultRowHeight="12.75" x14ac:dyDescent="0.2"/>
  <cols>
    <col min="1" max="1" width="9.140625" style="110"/>
    <col min="2" max="2" width="11.7109375" style="110" bestFit="1" customWidth="1"/>
    <col min="3" max="3" width="10" style="110" bestFit="1" customWidth="1"/>
    <col min="4" max="16384" width="9.140625" style="110"/>
  </cols>
  <sheetData>
    <row r="4" spans="2:27" ht="24.75" customHeight="1" x14ac:dyDescent="0.2">
      <c r="B4" s="589" t="str">
        <f>+Header!A18</f>
        <v>Blind and Low Vision Education Network NZ</v>
      </c>
      <c r="C4" s="587"/>
      <c r="D4" s="587"/>
      <c r="E4" s="587"/>
      <c r="F4" s="587"/>
      <c r="G4" s="587"/>
      <c r="H4" s="587"/>
      <c r="I4" s="587"/>
      <c r="J4" s="587"/>
      <c r="K4" s="587"/>
    </row>
    <row r="5" spans="2:27" ht="12.75" customHeight="1" x14ac:dyDescent="0.2">
      <c r="B5" s="587"/>
      <c r="C5" s="587"/>
      <c r="D5" s="587"/>
      <c r="E5" s="587"/>
      <c r="F5" s="587"/>
      <c r="G5" s="587"/>
      <c r="H5" s="587"/>
      <c r="I5" s="587"/>
      <c r="J5" s="587"/>
      <c r="K5" s="587"/>
    </row>
    <row r="6" spans="2:27" ht="12.75" customHeight="1" x14ac:dyDescent="0.2">
      <c r="B6" s="587"/>
      <c r="C6" s="587"/>
      <c r="D6" s="587"/>
      <c r="E6" s="587"/>
      <c r="F6" s="587"/>
      <c r="G6" s="587"/>
      <c r="H6" s="587"/>
      <c r="I6" s="587"/>
      <c r="J6" s="587"/>
      <c r="K6" s="587"/>
    </row>
    <row r="9" spans="2:27" ht="20.25" x14ac:dyDescent="0.2">
      <c r="B9" s="590" t="s">
        <v>1293</v>
      </c>
      <c r="C9" s="588"/>
      <c r="D9" s="588"/>
      <c r="E9" s="588"/>
      <c r="F9" s="588"/>
      <c r="G9" s="588"/>
      <c r="H9" s="588"/>
      <c r="I9" s="588"/>
      <c r="J9" s="588"/>
      <c r="K9" s="588"/>
    </row>
    <row r="14" spans="2:27" ht="12.75" customHeight="1" x14ac:dyDescent="0.2">
      <c r="B14" s="590" t="s">
        <v>346</v>
      </c>
      <c r="C14" s="590"/>
      <c r="D14" s="590"/>
      <c r="E14" s="590"/>
      <c r="F14" s="590"/>
      <c r="G14" s="590"/>
      <c r="H14" s="590"/>
      <c r="I14" s="590"/>
      <c r="J14" s="590"/>
      <c r="K14" s="590"/>
    </row>
    <row r="15" spans="2:27" ht="12.75" customHeight="1" x14ac:dyDescent="0.2">
      <c r="B15" s="590"/>
      <c r="C15" s="590"/>
      <c r="D15" s="590"/>
      <c r="E15" s="590"/>
      <c r="F15" s="590"/>
      <c r="G15" s="590"/>
      <c r="H15" s="590"/>
      <c r="I15" s="590"/>
      <c r="J15" s="590"/>
      <c r="K15" s="590"/>
    </row>
    <row r="16" spans="2:27" ht="12.75" customHeight="1" x14ac:dyDescent="0.2">
      <c r="B16" s="590"/>
      <c r="C16" s="590"/>
      <c r="D16" s="590"/>
      <c r="E16" s="590"/>
      <c r="F16" s="590"/>
      <c r="G16" s="590"/>
      <c r="H16" s="590"/>
      <c r="I16" s="590"/>
      <c r="J16" s="590"/>
      <c r="K16" s="590"/>
      <c r="AA16" s="264" t="s">
        <v>1014</v>
      </c>
    </row>
    <row r="17" spans="2:11" ht="12.75" customHeight="1" x14ac:dyDescent="0.2">
      <c r="B17" s="253"/>
      <c r="C17" s="253"/>
      <c r="D17" s="253"/>
      <c r="E17" s="253"/>
      <c r="F17" s="253"/>
      <c r="G17" s="253"/>
      <c r="H17" s="253"/>
      <c r="I17" s="253"/>
      <c r="J17" s="253"/>
      <c r="K17" s="253"/>
    </row>
    <row r="18" spans="2:11" ht="12.75" customHeight="1" x14ac:dyDescent="0.2">
      <c r="B18" s="253"/>
      <c r="C18" s="253"/>
      <c r="D18" s="253"/>
      <c r="E18" s="253"/>
      <c r="F18" s="253"/>
      <c r="G18" s="253"/>
      <c r="H18" s="253"/>
      <c r="I18" s="253"/>
      <c r="J18" s="253"/>
      <c r="K18" s="253"/>
    </row>
    <row r="19" spans="2:11" ht="12.75" customHeight="1" x14ac:dyDescent="0.2">
      <c r="B19" s="253"/>
      <c r="C19" s="253"/>
      <c r="D19" s="253"/>
      <c r="E19" s="253"/>
      <c r="F19" s="253"/>
      <c r="G19" s="253"/>
      <c r="H19" s="253"/>
      <c r="I19" s="253"/>
      <c r="J19" s="253"/>
      <c r="K19" s="253"/>
    </row>
    <row r="20" spans="2:11" ht="20.25" customHeight="1" x14ac:dyDescent="0.2">
      <c r="B20" s="254"/>
      <c r="C20" s="255" t="s">
        <v>347</v>
      </c>
      <c r="D20" s="254" t="s">
        <v>348</v>
      </c>
      <c r="E20" s="254"/>
      <c r="F20" s="254"/>
      <c r="G20" s="254"/>
      <c r="H20" s="254"/>
      <c r="I20" s="254"/>
      <c r="J20" s="254"/>
      <c r="K20" s="254"/>
    </row>
    <row r="21" spans="2:11" ht="12.75" customHeight="1" x14ac:dyDescent="0.2">
      <c r="B21" s="256"/>
      <c r="C21" s="446"/>
      <c r="D21" s="257"/>
      <c r="E21" s="257"/>
      <c r="F21" s="257"/>
      <c r="G21" s="257"/>
      <c r="H21" s="257"/>
      <c r="I21" s="257"/>
      <c r="J21" s="257"/>
      <c r="K21" s="257"/>
    </row>
    <row r="22" spans="2:11" ht="15" x14ac:dyDescent="0.2">
      <c r="C22" s="258">
        <v>1</v>
      </c>
      <c r="D22" s="586" t="s">
        <v>1016</v>
      </c>
      <c r="E22" s="586"/>
      <c r="F22" s="586"/>
      <c r="G22" s="586"/>
      <c r="H22" s="586"/>
      <c r="I22" s="586"/>
      <c r="J22" s="586"/>
      <c r="K22" s="586"/>
    </row>
    <row r="23" spans="2:11" ht="15" x14ac:dyDescent="0.2">
      <c r="C23" s="258"/>
      <c r="D23" s="586"/>
      <c r="E23" s="586"/>
      <c r="F23" s="586"/>
      <c r="G23" s="586"/>
      <c r="H23" s="586"/>
      <c r="I23" s="586"/>
      <c r="J23" s="586"/>
      <c r="K23" s="586"/>
    </row>
    <row r="24" spans="2:11" ht="15" x14ac:dyDescent="0.2">
      <c r="C24" s="258">
        <v>2</v>
      </c>
      <c r="D24" s="586" t="s">
        <v>349</v>
      </c>
      <c r="E24" s="586"/>
      <c r="F24" s="586"/>
      <c r="G24" s="586"/>
      <c r="H24" s="586"/>
      <c r="I24" s="586"/>
      <c r="J24" s="586"/>
      <c r="K24" s="586"/>
    </row>
    <row r="25" spans="2:11" ht="15" x14ac:dyDescent="0.2">
      <c r="C25" s="258"/>
      <c r="D25" s="586"/>
      <c r="E25" s="586"/>
      <c r="F25" s="586"/>
      <c r="G25" s="586"/>
      <c r="H25" s="586"/>
      <c r="I25" s="586"/>
      <c r="J25" s="586"/>
      <c r="K25" s="586"/>
    </row>
    <row r="26" spans="2:11" ht="15" x14ac:dyDescent="0.2">
      <c r="C26" s="258">
        <v>3</v>
      </c>
      <c r="D26" s="586" t="s">
        <v>350</v>
      </c>
      <c r="E26" s="586"/>
      <c r="F26" s="586"/>
      <c r="G26" s="586"/>
      <c r="H26" s="586"/>
      <c r="I26" s="586"/>
      <c r="J26" s="586"/>
      <c r="K26" s="586"/>
    </row>
    <row r="27" spans="2:11" ht="15" x14ac:dyDescent="0.2">
      <c r="C27" s="258"/>
      <c r="D27" s="586"/>
      <c r="E27" s="586"/>
      <c r="F27" s="586"/>
      <c r="G27" s="586"/>
      <c r="H27" s="586"/>
      <c r="I27" s="586"/>
      <c r="J27" s="586"/>
      <c r="K27" s="586"/>
    </row>
    <row r="28" spans="2:11" ht="15" x14ac:dyDescent="0.2">
      <c r="C28" s="258">
        <v>4</v>
      </c>
      <c r="D28" s="586" t="s">
        <v>997</v>
      </c>
      <c r="E28" s="586"/>
      <c r="F28" s="586"/>
      <c r="G28" s="586"/>
      <c r="H28" s="586"/>
      <c r="I28" s="586"/>
      <c r="J28" s="586"/>
      <c r="K28" s="586"/>
    </row>
    <row r="29" spans="2:11" ht="15" x14ac:dyDescent="0.2">
      <c r="C29" s="258"/>
      <c r="D29" s="586"/>
      <c r="E29" s="586"/>
      <c r="F29" s="586"/>
      <c r="G29" s="586"/>
      <c r="H29" s="586"/>
      <c r="I29" s="586"/>
      <c r="J29" s="586"/>
      <c r="K29" s="586"/>
    </row>
    <row r="30" spans="2:11" ht="15" x14ac:dyDescent="0.2">
      <c r="C30" s="258">
        <v>5</v>
      </c>
      <c r="D30" s="586" t="s">
        <v>1179</v>
      </c>
      <c r="E30" s="586"/>
      <c r="F30" s="586"/>
      <c r="G30" s="586"/>
      <c r="H30" s="586"/>
      <c r="I30" s="586"/>
      <c r="J30" s="586"/>
      <c r="K30" s="586"/>
    </row>
    <row r="31" spans="2:11" ht="15" x14ac:dyDescent="0.2">
      <c r="C31" s="258"/>
      <c r="D31" s="586"/>
      <c r="E31" s="586"/>
      <c r="F31" s="586"/>
      <c r="G31" s="586"/>
      <c r="H31" s="586"/>
      <c r="I31" s="586"/>
      <c r="J31" s="586"/>
      <c r="K31" s="586"/>
    </row>
    <row r="32" spans="2:11" ht="15" x14ac:dyDescent="0.2">
      <c r="C32" s="538" t="s">
        <v>1367</v>
      </c>
      <c r="D32" s="586" t="s">
        <v>1015</v>
      </c>
      <c r="E32" s="586"/>
      <c r="F32" s="586"/>
      <c r="G32" s="586"/>
      <c r="H32" s="586"/>
      <c r="I32" s="586"/>
      <c r="J32" s="586"/>
      <c r="K32" s="586"/>
    </row>
    <row r="33" spans="3:11" ht="15" x14ac:dyDescent="0.2">
      <c r="C33" s="258"/>
      <c r="D33" s="350"/>
      <c r="E33" s="350"/>
      <c r="F33" s="350"/>
      <c r="G33" s="350"/>
      <c r="H33" s="350"/>
      <c r="I33" s="350"/>
      <c r="J33" s="350"/>
      <c r="K33" s="350"/>
    </row>
    <row r="34" spans="3:11" ht="15" x14ac:dyDescent="0.2">
      <c r="C34" s="258" t="s">
        <v>1283</v>
      </c>
      <c r="D34" s="586" t="s">
        <v>352</v>
      </c>
      <c r="E34" s="586"/>
      <c r="F34" s="586"/>
      <c r="G34" s="586"/>
      <c r="H34" s="586"/>
      <c r="I34" s="586"/>
      <c r="J34" s="586"/>
      <c r="K34" s="586"/>
    </row>
    <row r="35" spans="3:11" ht="15" x14ac:dyDescent="0.2">
      <c r="C35" s="258"/>
      <c r="D35" s="586"/>
      <c r="E35" s="586"/>
      <c r="F35" s="586"/>
      <c r="G35" s="586"/>
      <c r="H35" s="586"/>
      <c r="I35" s="586"/>
      <c r="J35" s="586"/>
      <c r="K35" s="586"/>
    </row>
    <row r="36" spans="3:11" ht="15" x14ac:dyDescent="0.2">
      <c r="C36" s="538"/>
      <c r="D36" s="586" t="s">
        <v>1373</v>
      </c>
      <c r="E36" s="586"/>
      <c r="F36" s="586"/>
      <c r="G36" s="586"/>
      <c r="H36" s="586"/>
      <c r="I36" s="586"/>
      <c r="J36" s="586"/>
      <c r="K36" s="586"/>
    </row>
    <row r="37" spans="3:11" ht="15" x14ac:dyDescent="0.2">
      <c r="C37" s="258"/>
      <c r="D37" s="586"/>
      <c r="E37" s="586"/>
      <c r="F37" s="586"/>
      <c r="G37" s="586"/>
      <c r="H37" s="586"/>
      <c r="I37" s="586"/>
      <c r="J37" s="586"/>
      <c r="K37" s="586"/>
    </row>
    <row r="38" spans="3:11" ht="15" x14ac:dyDescent="0.2">
      <c r="C38" s="258"/>
      <c r="D38" s="586" t="s">
        <v>1374</v>
      </c>
      <c r="E38" s="586"/>
      <c r="F38" s="586"/>
      <c r="G38" s="586"/>
      <c r="H38" s="586"/>
      <c r="I38" s="586"/>
      <c r="J38" s="586"/>
      <c r="K38" s="586"/>
    </row>
    <row r="39" spans="3:11" ht="15" x14ac:dyDescent="0.2">
      <c r="C39" s="258"/>
      <c r="D39" s="586"/>
      <c r="E39" s="586"/>
      <c r="F39" s="586"/>
      <c r="G39" s="586"/>
      <c r="H39" s="586"/>
      <c r="I39" s="586"/>
      <c r="J39" s="586"/>
      <c r="K39" s="586"/>
    </row>
    <row r="40" spans="3:11" x14ac:dyDescent="0.2">
      <c r="C40" s="258"/>
    </row>
    <row r="41" spans="3:11" ht="15" x14ac:dyDescent="0.2">
      <c r="C41" s="258"/>
      <c r="D41" s="586"/>
      <c r="E41" s="586"/>
      <c r="F41" s="586"/>
      <c r="G41" s="586"/>
      <c r="H41" s="586"/>
      <c r="I41" s="586"/>
      <c r="J41" s="586"/>
      <c r="K41" s="586"/>
    </row>
    <row r="42" spans="3:11" x14ac:dyDescent="0.2">
      <c r="C42" s="258"/>
    </row>
  </sheetData>
  <phoneticPr fontId="66" type="noConversion"/>
  <pageMargins left="0.7" right="0.17" top="0.46"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J626"/>
  <sheetViews>
    <sheetView view="pageBreakPreview" zoomScaleNormal="100" zoomScaleSheetLayoutView="100" workbookViewId="0">
      <selection activeCell="I27" sqref="I27"/>
    </sheetView>
  </sheetViews>
  <sheetFormatPr defaultRowHeight="12.75" x14ac:dyDescent="0.2"/>
  <cols>
    <col min="1" max="1" width="13.28515625" style="110" bestFit="1" customWidth="1"/>
    <col min="2" max="12" width="10" style="110" customWidth="1"/>
    <col min="13" max="16384" width="9.140625" style="110"/>
  </cols>
  <sheetData>
    <row r="2" spans="1:5" ht="23.25" x14ac:dyDescent="0.35">
      <c r="A2" s="259"/>
      <c r="B2" s="260" t="str">
        <f>+Header!A18</f>
        <v>Blind and Low Vision Education Network NZ</v>
      </c>
      <c r="C2" s="261"/>
      <c r="D2" s="261"/>
      <c r="E2" s="261"/>
    </row>
    <row r="4" spans="1:5" ht="23.25" x14ac:dyDescent="0.35">
      <c r="B4" s="262" t="s">
        <v>1016</v>
      </c>
    </row>
    <row r="6" spans="1:5" ht="18" x14ac:dyDescent="0.25">
      <c r="B6" s="263" t="s">
        <v>1294</v>
      </c>
    </row>
    <row r="9" spans="1:5" x14ac:dyDescent="0.2">
      <c r="B9" s="264" t="s">
        <v>364</v>
      </c>
    </row>
    <row r="10" spans="1:5" x14ac:dyDescent="0.2">
      <c r="B10" s="264" t="s">
        <v>365</v>
      </c>
    </row>
    <row r="11" spans="1:5" x14ac:dyDescent="0.2">
      <c r="B11" s="268" t="s">
        <v>1295</v>
      </c>
    </row>
    <row r="13" spans="1:5" x14ac:dyDescent="0.2">
      <c r="B13" s="264" t="s">
        <v>353</v>
      </c>
    </row>
    <row r="14" spans="1:5" x14ac:dyDescent="0.2">
      <c r="B14" s="264" t="s">
        <v>354</v>
      </c>
    </row>
    <row r="16" spans="1:5" x14ac:dyDescent="0.2">
      <c r="B16" s="264" t="s">
        <v>355</v>
      </c>
    </row>
    <row r="17" spans="2:10" x14ac:dyDescent="0.2">
      <c r="B17" s="264" t="s">
        <v>356</v>
      </c>
    </row>
    <row r="18" spans="2:10" x14ac:dyDescent="0.2">
      <c r="B18" s="264" t="s">
        <v>357</v>
      </c>
    </row>
    <row r="20" spans="2:10" x14ac:dyDescent="0.2">
      <c r="B20" s="264" t="s">
        <v>358</v>
      </c>
    </row>
    <row r="21" spans="2:10" x14ac:dyDescent="0.2">
      <c r="B21" s="264" t="s">
        <v>1296</v>
      </c>
      <c r="C21" s="264"/>
      <c r="D21" s="264"/>
    </row>
    <row r="23" spans="2:10" x14ac:dyDescent="0.2">
      <c r="B23" s="264" t="s">
        <v>1297</v>
      </c>
      <c r="C23" s="264"/>
      <c r="D23" s="264"/>
    </row>
    <row r="24" spans="2:10" x14ac:dyDescent="0.2">
      <c r="B24" s="264"/>
    </row>
    <row r="29" spans="2:10" x14ac:dyDescent="0.2">
      <c r="C29" s="264" t="s">
        <v>1371</v>
      </c>
      <c r="H29" s="264" t="s">
        <v>1372</v>
      </c>
    </row>
    <row r="30" spans="2:10" x14ac:dyDescent="0.2">
      <c r="B30" s="265"/>
      <c r="C30" s="265"/>
      <c r="D30" s="265"/>
      <c r="E30" s="265"/>
      <c r="G30" s="265"/>
      <c r="H30" s="265"/>
      <c r="I30" s="265"/>
      <c r="J30" s="265"/>
    </row>
    <row r="31" spans="2:10" x14ac:dyDescent="0.2">
      <c r="B31" s="264" t="s">
        <v>359</v>
      </c>
      <c r="C31" s="264"/>
      <c r="G31" s="264" t="s">
        <v>360</v>
      </c>
      <c r="H31" s="264"/>
      <c r="I31" s="264"/>
    </row>
    <row r="35" spans="2:10" x14ac:dyDescent="0.2">
      <c r="B35" s="265"/>
      <c r="C35" s="265"/>
      <c r="D35" s="265"/>
      <c r="E35" s="265"/>
      <c r="G35" s="265"/>
      <c r="H35" s="265"/>
      <c r="I35" s="265"/>
      <c r="J35" s="265"/>
    </row>
    <row r="36" spans="2:10" x14ac:dyDescent="0.2">
      <c r="B36" s="264" t="s">
        <v>361</v>
      </c>
      <c r="C36" s="264"/>
      <c r="G36" s="264" t="s">
        <v>362</v>
      </c>
      <c r="H36" s="264"/>
      <c r="I36" s="264"/>
    </row>
    <row r="38" spans="2:10" x14ac:dyDescent="0.2">
      <c r="H38" s="610"/>
    </row>
    <row r="39" spans="2:10" x14ac:dyDescent="0.2">
      <c r="B39" s="266"/>
      <c r="C39" s="609">
        <v>43593</v>
      </c>
      <c r="D39" s="265"/>
      <c r="E39" s="265"/>
      <c r="G39" s="266"/>
      <c r="H39" s="609">
        <v>43593</v>
      </c>
      <c r="I39" s="265"/>
      <c r="J39" s="265"/>
    </row>
    <row r="40" spans="2:10" x14ac:dyDescent="0.2">
      <c r="B40" s="264" t="s">
        <v>363</v>
      </c>
      <c r="C40" s="264"/>
      <c r="G40" s="264" t="s">
        <v>363</v>
      </c>
      <c r="H40" s="264"/>
    </row>
    <row r="626" spans="8:9" x14ac:dyDescent="0.2">
      <c r="H626" s="267"/>
      <c r="I626" s="267"/>
    </row>
  </sheetData>
  <phoneticPr fontId="66" type="noConversion"/>
  <pageMargins left="0.78740157480314965" right="0" top="0.74803149606299213" bottom="0.74803149606299213" header="0.31496062992125984" footer="0.31496062992125984"/>
  <pageSetup paperSize="9" scale="94"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7"/>
  <sheetViews>
    <sheetView showGridLines="0" view="pageBreakPreview" zoomScale="85" zoomScaleNormal="100" zoomScaleSheetLayoutView="85" workbookViewId="0">
      <selection activeCell="I32" sqref="I32"/>
    </sheetView>
  </sheetViews>
  <sheetFormatPr defaultColWidth="9.140625" defaultRowHeight="12.75" x14ac:dyDescent="0.2"/>
  <cols>
    <col min="1" max="1" width="33.28515625" style="8" customWidth="1"/>
    <col min="2" max="2" width="8.140625" style="40" customWidth="1"/>
    <col min="3" max="3" width="15.7109375" style="40" customWidth="1"/>
    <col min="4" max="5" width="15.7109375" style="162" customWidth="1"/>
    <col min="6" max="6" width="11.5703125" style="19" bestFit="1" customWidth="1"/>
    <col min="7" max="7" width="10.85546875" bestFit="1" customWidth="1"/>
    <col min="8" max="8" width="13.85546875" customWidth="1"/>
    <col min="9" max="9" width="10.28515625" bestFit="1" customWidth="1"/>
    <col min="10" max="10" width="9.28515625" bestFit="1" customWidth="1"/>
  </cols>
  <sheetData>
    <row r="1" spans="1:13" s="1" customFormat="1" ht="18" x14ac:dyDescent="0.2">
      <c r="A1" s="270" t="str">
        <f>+Header!A18</f>
        <v>Blind and Low Vision Education Network NZ</v>
      </c>
      <c r="B1" s="62"/>
      <c r="C1" s="62"/>
      <c r="D1" s="418"/>
      <c r="E1" s="418"/>
      <c r="F1" s="72"/>
    </row>
    <row r="2" spans="1:13" ht="23.25" x14ac:dyDescent="0.35">
      <c r="A2" s="419" t="s">
        <v>349</v>
      </c>
      <c r="E2" s="420"/>
    </row>
    <row r="3" spans="1:13" s="8" customFormat="1" ht="18" x14ac:dyDescent="0.25">
      <c r="A3" s="388" t="s">
        <v>1298</v>
      </c>
      <c r="B3" s="40"/>
      <c r="C3" s="40"/>
      <c r="D3" s="162"/>
      <c r="E3" s="162"/>
      <c r="F3" s="18"/>
    </row>
    <row r="4" spans="1:13" s="11" customFormat="1" ht="15" x14ac:dyDescent="0.25">
      <c r="A4" s="228"/>
      <c r="B4" s="383"/>
      <c r="C4" s="383"/>
      <c r="D4" s="232"/>
      <c r="E4" s="232"/>
      <c r="F4" s="66"/>
    </row>
    <row r="5" spans="1:13" s="8" customFormat="1" ht="15" x14ac:dyDescent="0.25">
      <c r="A5" s="198"/>
      <c r="B5" s="389"/>
      <c r="C5" s="223">
        <v>2018</v>
      </c>
      <c r="D5" s="223">
        <v>2018</v>
      </c>
      <c r="E5" s="223">
        <v>2017</v>
      </c>
      <c r="F5" s="18"/>
    </row>
    <row r="6" spans="1:13" s="8" customFormat="1" ht="15" x14ac:dyDescent="0.25">
      <c r="A6" s="198"/>
      <c r="B6" s="225" t="s">
        <v>804</v>
      </c>
      <c r="C6" s="227" t="s">
        <v>800</v>
      </c>
      <c r="D6" s="227" t="s">
        <v>801</v>
      </c>
      <c r="E6" s="227" t="s">
        <v>800</v>
      </c>
      <c r="F6" s="18"/>
    </row>
    <row r="7" spans="1:13" s="8" customFormat="1" ht="15" x14ac:dyDescent="0.25">
      <c r="A7" s="198"/>
      <c r="B7" s="225"/>
      <c r="C7" s="227"/>
      <c r="D7" s="390" t="s">
        <v>366</v>
      </c>
      <c r="E7" s="227"/>
      <c r="F7" s="18"/>
    </row>
    <row r="8" spans="1:13" s="8" customFormat="1" ht="15" x14ac:dyDescent="0.25">
      <c r="A8" s="198"/>
      <c r="B8" s="225"/>
      <c r="C8" s="227" t="s">
        <v>799</v>
      </c>
      <c r="D8" s="227" t="s">
        <v>799</v>
      </c>
      <c r="E8" s="227" t="s">
        <v>799</v>
      </c>
      <c r="F8" s="18"/>
    </row>
    <row r="9" spans="1:13" s="8" customFormat="1" ht="15" x14ac:dyDescent="0.25">
      <c r="A9" s="228" t="s">
        <v>301</v>
      </c>
      <c r="B9" s="383"/>
      <c r="C9" s="391"/>
      <c r="D9" s="211"/>
      <c r="E9" s="211"/>
      <c r="F9" s="392"/>
      <c r="H9" s="239"/>
    </row>
    <row r="10" spans="1:13" s="26" customFormat="1" ht="14.25" x14ac:dyDescent="0.2">
      <c r="A10" s="198" t="s">
        <v>319</v>
      </c>
      <c r="B10" s="383">
        <v>2</v>
      </c>
      <c r="C10" s="146">
        <f>+Notes!F18</f>
        <v>20271746</v>
      </c>
      <c r="D10" s="384">
        <f>+Notes!G18</f>
        <v>18152730</v>
      </c>
      <c r="E10" s="206">
        <f>+Notes!H18</f>
        <v>18705915</v>
      </c>
      <c r="F10" s="393"/>
      <c r="G10" s="37"/>
      <c r="H10" s="37"/>
      <c r="I10" s="37"/>
      <c r="J10" s="48"/>
    </row>
    <row r="11" spans="1:13" s="26" customFormat="1" ht="14.25" x14ac:dyDescent="0.2">
      <c r="A11" s="198" t="s">
        <v>367</v>
      </c>
      <c r="B11" s="383">
        <v>3</v>
      </c>
      <c r="C11" s="146">
        <f>+Notes!F30</f>
        <v>230900</v>
      </c>
      <c r="D11" s="384">
        <f>+Notes!G30</f>
        <v>252113</v>
      </c>
      <c r="E11" s="206">
        <f>+Notes!H30</f>
        <v>292320</v>
      </c>
      <c r="F11" s="393"/>
      <c r="G11" s="37"/>
      <c r="H11" s="37"/>
      <c r="I11" s="37"/>
    </row>
    <row r="12" spans="1:13" s="26" customFormat="1" ht="14.25" x14ac:dyDescent="0.2">
      <c r="A12" s="198" t="s">
        <v>1180</v>
      </c>
      <c r="B12" s="383"/>
      <c r="C12" s="212">
        <f>+'Codes allocation'!D120</f>
        <v>303683</v>
      </c>
      <c r="D12" s="384">
        <f>+'Codes allocation'!F120</f>
        <v>140000</v>
      </c>
      <c r="E12" s="206">
        <f>+'Codes allocation'!H120</f>
        <v>276159</v>
      </c>
      <c r="F12" s="325"/>
      <c r="M12" s="394"/>
    </row>
    <row r="13" spans="1:13" s="26" customFormat="1" ht="14.25" x14ac:dyDescent="0.2">
      <c r="A13" s="198" t="s">
        <v>368</v>
      </c>
      <c r="B13" s="383"/>
      <c r="C13" s="147">
        <f>'Codes allocation'!D888</f>
        <v>304</v>
      </c>
      <c r="D13" s="395">
        <f>'Codes allocation'!F888</f>
        <v>0</v>
      </c>
      <c r="E13" s="207">
        <f>'Codes allocation'!H888</f>
        <v>1739</v>
      </c>
      <c r="F13" s="325"/>
      <c r="M13" s="394"/>
    </row>
    <row r="14" spans="1:13" s="26" customFormat="1" ht="14.25" x14ac:dyDescent="0.2">
      <c r="A14" s="198"/>
      <c r="B14" s="383"/>
      <c r="C14" s="396">
        <f>SUM(C10:C13)</f>
        <v>20806633</v>
      </c>
      <c r="D14" s="396">
        <f>SUM(D10:D13)</f>
        <v>18544843</v>
      </c>
      <c r="E14" s="206">
        <f>SUM(E10:E13)</f>
        <v>19276133</v>
      </c>
      <c r="F14" s="393"/>
      <c r="G14" s="397"/>
      <c r="M14" s="398"/>
    </row>
    <row r="15" spans="1:13" s="8" customFormat="1" ht="14.25" x14ac:dyDescent="0.2">
      <c r="A15" s="198"/>
      <c r="B15" s="383"/>
      <c r="C15" s="208"/>
      <c r="D15" s="208"/>
      <c r="E15" s="208"/>
      <c r="F15" s="336"/>
      <c r="M15" s="398"/>
    </row>
    <row r="16" spans="1:13" s="8" customFormat="1" ht="15" x14ac:dyDescent="0.25">
      <c r="A16" s="228" t="s">
        <v>302</v>
      </c>
      <c r="B16" s="383"/>
      <c r="C16" s="208"/>
      <c r="D16" s="208"/>
      <c r="E16" s="208"/>
      <c r="F16" s="399"/>
    </row>
    <row r="17" spans="1:11" s="8" customFormat="1" ht="14.25" x14ac:dyDescent="0.2">
      <c r="A17" s="198" t="s">
        <v>367</v>
      </c>
      <c r="B17" s="383">
        <v>3</v>
      </c>
      <c r="C17" s="206">
        <f>+Notes!F36</f>
        <v>103324.12</v>
      </c>
      <c r="D17" s="384">
        <f>+Notes!G36</f>
        <v>169433</v>
      </c>
      <c r="E17" s="206">
        <f>+Notes!H36</f>
        <v>107343.02</v>
      </c>
      <c r="F17" s="18"/>
      <c r="G17" s="335"/>
      <c r="H17" s="335"/>
      <c r="I17" s="335"/>
    </row>
    <row r="18" spans="1:11" s="8" customFormat="1" ht="14.25" x14ac:dyDescent="0.2">
      <c r="A18" s="198" t="s">
        <v>805</v>
      </c>
      <c r="B18" s="385" t="s">
        <v>1312</v>
      </c>
      <c r="C18" s="206">
        <f>Notes!F50+Notes!F62+Notes!F75+Notes!F87+Notes!F99</f>
        <v>14686162</v>
      </c>
      <c r="D18" s="206">
        <f>Notes!G50+Notes!G62+Notes!G75+Notes!G87+Notes!G99</f>
        <v>15521867</v>
      </c>
      <c r="E18" s="206">
        <f>Notes!H50+Notes!H62+Notes!H75+Notes!H87+Notes!H99</f>
        <v>13346713</v>
      </c>
      <c r="F18" s="386"/>
      <c r="G18" s="9"/>
      <c r="H18" s="9"/>
      <c r="I18" s="9"/>
      <c r="J18" s="9"/>
      <c r="K18" s="59"/>
    </row>
    <row r="19" spans="1:11" s="8" customFormat="1" ht="14.25" x14ac:dyDescent="0.2">
      <c r="A19" s="198" t="s">
        <v>806</v>
      </c>
      <c r="B19" s="383">
        <v>9</v>
      </c>
      <c r="C19" s="206">
        <f>Notes!F119</f>
        <v>1268517</v>
      </c>
      <c r="D19" s="384">
        <f>+Notes!G119</f>
        <v>1363983</v>
      </c>
      <c r="E19" s="206">
        <f>+Notes!H119</f>
        <v>1081419</v>
      </c>
      <c r="F19" s="387"/>
      <c r="G19" s="9"/>
      <c r="H19" s="9"/>
      <c r="I19" s="9"/>
    </row>
    <row r="20" spans="1:11" s="8" customFormat="1" ht="14.25" x14ac:dyDescent="0.2">
      <c r="A20" s="198" t="s">
        <v>811</v>
      </c>
      <c r="B20" s="383">
        <v>10</v>
      </c>
      <c r="C20" s="206">
        <f>+Notes!F137</f>
        <v>2925073</v>
      </c>
      <c r="D20" s="384">
        <f>+Notes!G137</f>
        <v>2234828</v>
      </c>
      <c r="E20" s="206">
        <f>+Notes!H137</f>
        <v>2907453</v>
      </c>
      <c r="F20" s="387"/>
      <c r="G20" s="9"/>
      <c r="H20" s="9"/>
      <c r="I20" s="9"/>
    </row>
    <row r="21" spans="1:11" s="8" customFormat="1" ht="14.25" x14ac:dyDescent="0.2">
      <c r="A21" s="198" t="s">
        <v>1181</v>
      </c>
      <c r="B21" s="383"/>
      <c r="C21" s="206">
        <f>+'Codes allocation'!D890</f>
        <v>12848</v>
      </c>
      <c r="D21" s="206">
        <f>+'Codes allocation'!F890</f>
        <v>6241</v>
      </c>
      <c r="E21" s="206">
        <f>+'Codes allocation'!H890</f>
        <v>11528</v>
      </c>
      <c r="F21" s="387"/>
      <c r="G21" s="9"/>
      <c r="H21" s="9"/>
      <c r="I21" s="9"/>
    </row>
    <row r="22" spans="1:11" s="8" customFormat="1" ht="14.25" x14ac:dyDescent="0.2">
      <c r="A22" s="198" t="s">
        <v>807</v>
      </c>
      <c r="B22" s="383">
        <v>11</v>
      </c>
      <c r="C22" s="208">
        <f>'Codes allocation'!D886</f>
        <v>443582</v>
      </c>
      <c r="D22" s="208">
        <f>'Codes allocation'!F886</f>
        <v>381000</v>
      </c>
      <c r="E22" s="208">
        <f>'Codes allocation'!H886</f>
        <v>395909</v>
      </c>
      <c r="F22" s="387"/>
      <c r="G22" s="9"/>
      <c r="H22" s="9"/>
      <c r="I22" s="9"/>
    </row>
    <row r="23" spans="1:11" s="8" customFormat="1" ht="14.25" x14ac:dyDescent="0.2">
      <c r="A23" s="198" t="s">
        <v>397</v>
      </c>
      <c r="B23" s="383"/>
      <c r="C23" s="207">
        <f>'Codes allocation'!D887</f>
        <v>8491</v>
      </c>
      <c r="D23" s="395">
        <f>'Codes allocation'!F887</f>
        <v>0</v>
      </c>
      <c r="E23" s="207">
        <f>'Codes allocation'!H887</f>
        <v>6180</v>
      </c>
      <c r="F23" s="387"/>
      <c r="G23" s="9"/>
      <c r="H23" s="9"/>
      <c r="I23" s="9"/>
    </row>
    <row r="24" spans="1:11" ht="14.25" x14ac:dyDescent="0.2">
      <c r="A24" s="198"/>
      <c r="B24" s="383"/>
      <c r="C24" s="206">
        <f>SUM(C17:C23)</f>
        <v>19447997.119999997</v>
      </c>
      <c r="D24" s="206">
        <f>SUM(D17:D23)</f>
        <v>19677352</v>
      </c>
      <c r="E24" s="206">
        <f>SUM(E17:E23)</f>
        <v>17856545.02</v>
      </c>
      <c r="F24" s="204"/>
      <c r="G24" s="245"/>
    </row>
    <row r="25" spans="1:11" ht="14.25" x14ac:dyDescent="0.2">
      <c r="A25" s="198"/>
      <c r="B25" s="383"/>
      <c r="C25" s="208"/>
      <c r="D25" s="208"/>
      <c r="E25" s="208"/>
      <c r="F25" s="204"/>
      <c r="G25" s="199"/>
    </row>
    <row r="26" spans="1:11" ht="15" x14ac:dyDescent="0.25">
      <c r="A26" s="228" t="s">
        <v>999</v>
      </c>
      <c r="B26" s="383"/>
      <c r="C26" s="209">
        <f>SUM(C14-C24)</f>
        <v>1358635.8800000027</v>
      </c>
      <c r="D26" s="209">
        <f>+D14-D24</f>
        <v>-1132509</v>
      </c>
      <c r="E26" s="209">
        <f>SUM(E14-E24)-1</f>
        <v>1419586.9800000004</v>
      </c>
      <c r="F26" s="205"/>
      <c r="G26" s="41"/>
    </row>
    <row r="27" spans="1:11" ht="14.25" x14ac:dyDescent="0.2">
      <c r="A27" s="198"/>
      <c r="B27" s="383"/>
      <c r="C27" s="410"/>
      <c r="D27" s="217"/>
      <c r="E27" s="217"/>
      <c r="F27" s="44"/>
    </row>
    <row r="28" spans="1:11" ht="12.75" customHeight="1" x14ac:dyDescent="0.2">
      <c r="A28" s="198" t="s">
        <v>369</v>
      </c>
      <c r="B28" s="383"/>
      <c r="C28" s="411">
        <v>0</v>
      </c>
      <c r="D28" s="218">
        <v>0</v>
      </c>
      <c r="E28" s="218">
        <v>0</v>
      </c>
      <c r="F28" s="18"/>
    </row>
    <row r="29" spans="1:11" ht="14.25" x14ac:dyDescent="0.2">
      <c r="A29" s="198"/>
      <c r="B29" s="383"/>
      <c r="C29" s="411"/>
      <c r="D29" s="218"/>
      <c r="E29" s="218"/>
    </row>
    <row r="30" spans="1:11" ht="15.75" thickBot="1" x14ac:dyDescent="0.3">
      <c r="A30" s="228" t="s">
        <v>370</v>
      </c>
      <c r="B30" s="383"/>
      <c r="C30" s="219">
        <f>C26+C28</f>
        <v>1358635.8800000027</v>
      </c>
      <c r="D30" s="219">
        <f>D26+D28</f>
        <v>-1132509</v>
      </c>
      <c r="E30" s="219">
        <f>E26+E28</f>
        <v>1419586.9800000004</v>
      </c>
      <c r="G30" s="213"/>
    </row>
    <row r="31" spans="1:11" ht="15" x14ac:dyDescent="0.25">
      <c r="A31" s="228" t="s">
        <v>371</v>
      </c>
      <c r="B31" s="383"/>
      <c r="C31" s="411"/>
      <c r="D31" s="218"/>
      <c r="E31" s="218"/>
      <c r="F31" s="244"/>
      <c r="G31" s="213"/>
    </row>
    <row r="32" spans="1:11" ht="15" x14ac:dyDescent="0.25">
      <c r="A32" s="228"/>
      <c r="B32" s="383"/>
      <c r="C32" s="218"/>
      <c r="D32" s="218"/>
      <c r="E32" s="218"/>
    </row>
    <row r="33" spans="1:6" ht="15" x14ac:dyDescent="0.25">
      <c r="A33" s="228"/>
      <c r="B33" s="383"/>
      <c r="C33" s="383"/>
      <c r="D33" s="232"/>
      <c r="E33" s="232"/>
    </row>
    <row r="34" spans="1:6" ht="14.25" x14ac:dyDescent="0.2">
      <c r="A34" s="198"/>
      <c r="B34" s="383"/>
      <c r="C34" s="383"/>
      <c r="D34" s="232"/>
      <c r="E34" s="232"/>
    </row>
    <row r="35" spans="1:6" s="7" customFormat="1" x14ac:dyDescent="0.2">
      <c r="A35" s="421" t="s">
        <v>1004</v>
      </c>
      <c r="B35" s="422"/>
      <c r="C35" s="422"/>
      <c r="D35" s="166"/>
      <c r="E35" s="166"/>
      <c r="F35" s="39"/>
    </row>
    <row r="36" spans="1:6" x14ac:dyDescent="0.2">
      <c r="A36" s="423"/>
    </row>
    <row r="37" spans="1:6" x14ac:dyDescent="0.2">
      <c r="A37" s="423"/>
    </row>
  </sheetData>
  <customSheetViews>
    <customSheetView guid="{2F1C2500-C7E9-11D7-BAB9-00065B3658C6}" showGridLines="0" showRuler="0">
      <selection activeCell="B30" sqref="B30"/>
      <pageMargins left="0.74803149606299213" right="0.74803149606299213" top="0.51181102362204722" bottom="0.51181102362204722" header="0.51181102362204722" footer="0.51181102362204722"/>
      <printOptions horizontalCentered="1"/>
      <pageSetup paperSize="9" orientation="portrait" horizontalDpi="4294967292" verticalDpi="4294967292" r:id="rId1"/>
      <headerFooter alignWithMargins="0"/>
    </customSheetView>
    <customSheetView guid="{16158AC0-BDC0-11D7-BABA-AD30328A5118}" showPageBreaks="1" showGridLines="0" printArea="1" showRuler="0">
      <selection activeCell="B30" sqref="B30"/>
      <pageMargins left="0.74803149606299213" right="0.74803149606299213" top="0.51181102362204722" bottom="0.51181102362204722" header="0.51181102362204722" footer="0.51181102362204722"/>
      <printOptions horizontalCentered="1"/>
      <pageSetup paperSize="9" orientation="portrait" horizontalDpi="4294967292" verticalDpi="4294967292" r:id="rId2"/>
      <headerFooter alignWithMargins="0"/>
    </customSheetView>
  </customSheetViews>
  <phoneticPr fontId="16" type="noConversion"/>
  <printOptions horizontalCentered="1"/>
  <pageMargins left="0.70866141732283472" right="0.70866141732283472" top="0.74803149606299213" bottom="0.74803149606299213" header="0.31496062992125984" footer="0.31496062992125984"/>
  <pageSetup paperSize="9" scale="99" orientation="portrait" r:id="rId3"/>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5"/>
  <sheetViews>
    <sheetView showGridLines="0" view="pageBreakPreview" zoomScale="85" zoomScaleNormal="100" zoomScaleSheetLayoutView="85" workbookViewId="0">
      <selection activeCell="C5" sqref="C5"/>
    </sheetView>
  </sheetViews>
  <sheetFormatPr defaultColWidth="8.85546875" defaultRowHeight="12.75" x14ac:dyDescent="0.2"/>
  <cols>
    <col min="1" max="1" width="45.7109375" customWidth="1"/>
    <col min="2" max="2" width="8.7109375" customWidth="1"/>
    <col min="3" max="3" width="14.140625" customWidth="1"/>
    <col min="4" max="5" width="15.7109375" style="3" customWidth="1"/>
    <col min="6" max="6" width="15.7109375" customWidth="1"/>
    <col min="7" max="7" width="9.28515625" bestFit="1" customWidth="1"/>
  </cols>
  <sheetData>
    <row r="1" spans="1:15" s="1" customFormat="1" ht="26.25" x14ac:dyDescent="0.2">
      <c r="A1" s="592" t="str">
        <f>+Data!B6</f>
        <v>Blind and Low Vision Education Network NZ</v>
      </c>
      <c r="D1" s="70"/>
      <c r="E1" s="70"/>
    </row>
    <row r="2" spans="1:15" ht="20.25" x14ac:dyDescent="0.3">
      <c r="A2" s="593" t="s">
        <v>350</v>
      </c>
    </row>
    <row r="3" spans="1:15" s="13" customFormat="1" ht="18" x14ac:dyDescent="0.2">
      <c r="A3" s="73" t="str">
        <f>'Comprehensive Income'!A3</f>
        <v>For the year ended 31 December 2018</v>
      </c>
    </row>
    <row r="4" spans="1:15" s="35" customFormat="1" ht="14.25" x14ac:dyDescent="0.2">
      <c r="A4" s="220"/>
      <c r="B4" s="220"/>
      <c r="C4" s="220"/>
      <c r="D4" s="220"/>
      <c r="E4" s="220"/>
      <c r="F4" s="240"/>
      <c r="G4" s="240"/>
      <c r="H4" s="240"/>
      <c r="I4" s="240"/>
      <c r="J4" s="240"/>
      <c r="K4" s="240"/>
      <c r="L4" s="240"/>
      <c r="M4" s="240"/>
      <c r="N4" s="240"/>
      <c r="O4" s="240"/>
    </row>
    <row r="5" spans="1:15" ht="15" x14ac:dyDescent="0.25">
      <c r="A5" s="221"/>
      <c r="B5" s="222"/>
      <c r="C5" s="223">
        <f>'Comprehensive Income'!C5</f>
        <v>2018</v>
      </c>
      <c r="D5" s="223">
        <f>'Comprehensive Income'!D5</f>
        <v>2018</v>
      </c>
      <c r="E5" s="223">
        <f>'Comprehensive Income'!E5</f>
        <v>2017</v>
      </c>
      <c r="F5" s="19"/>
      <c r="G5" s="19"/>
      <c r="H5" s="19"/>
      <c r="I5" s="19"/>
      <c r="J5" s="19"/>
      <c r="K5" s="19"/>
      <c r="L5" s="19"/>
      <c r="M5" s="19"/>
      <c r="N5" s="19"/>
      <c r="O5" s="19"/>
    </row>
    <row r="6" spans="1:15" ht="15" x14ac:dyDescent="0.25">
      <c r="A6" s="221"/>
      <c r="B6" s="224" t="s">
        <v>804</v>
      </c>
      <c r="C6" s="225" t="s">
        <v>800</v>
      </c>
      <c r="D6" s="226" t="s">
        <v>801</v>
      </c>
      <c r="E6" s="226" t="s">
        <v>800</v>
      </c>
      <c r="F6" s="19"/>
      <c r="G6" s="19"/>
      <c r="H6" s="19"/>
      <c r="I6" s="19"/>
      <c r="J6" s="19"/>
      <c r="K6" s="19"/>
      <c r="L6" s="19"/>
      <c r="M6" s="19"/>
      <c r="N6" s="19"/>
      <c r="O6" s="19"/>
    </row>
    <row r="7" spans="1:15" ht="15" x14ac:dyDescent="0.25">
      <c r="A7" s="221"/>
      <c r="B7" s="224"/>
      <c r="C7" s="225"/>
      <c r="D7" s="269" t="s">
        <v>366</v>
      </c>
      <c r="E7" s="226"/>
      <c r="F7" s="19"/>
      <c r="G7" s="19"/>
      <c r="H7" s="19"/>
      <c r="I7" s="19"/>
      <c r="J7" s="19"/>
      <c r="K7" s="19"/>
      <c r="L7" s="19"/>
      <c r="M7" s="19"/>
      <c r="N7" s="19"/>
      <c r="O7" s="19"/>
    </row>
    <row r="8" spans="1:15" ht="15" x14ac:dyDescent="0.25">
      <c r="A8" s="221"/>
      <c r="B8" s="224"/>
      <c r="C8" s="225" t="s">
        <v>799</v>
      </c>
      <c r="D8" s="227" t="s">
        <v>799</v>
      </c>
      <c r="E8" s="227" t="s">
        <v>799</v>
      </c>
      <c r="F8" s="19"/>
      <c r="G8" s="47"/>
      <c r="H8" s="19"/>
      <c r="I8" s="19"/>
      <c r="J8" s="19"/>
      <c r="K8" s="19"/>
      <c r="L8" s="19"/>
      <c r="M8" s="19"/>
      <c r="N8" s="19"/>
      <c r="O8" s="19"/>
    </row>
    <row r="9" spans="1:15" ht="15" x14ac:dyDescent="0.25">
      <c r="A9" s="221"/>
      <c r="B9" s="224"/>
      <c r="C9" s="227"/>
      <c r="D9" s="227"/>
      <c r="E9" s="227"/>
      <c r="F9" s="19"/>
      <c r="G9" s="19"/>
      <c r="H9" s="19"/>
      <c r="I9" s="19"/>
      <c r="J9" s="19"/>
      <c r="K9" s="19"/>
      <c r="L9" s="19"/>
      <c r="M9" s="19"/>
      <c r="N9" s="19"/>
      <c r="O9" s="19"/>
    </row>
    <row r="10" spans="1:15" ht="15.75" thickBot="1" x14ac:dyDescent="0.3">
      <c r="A10" s="228" t="s">
        <v>372</v>
      </c>
      <c r="B10" s="221"/>
      <c r="C10" s="229">
        <f>+E16</f>
        <v>11223193.98</v>
      </c>
      <c r="D10" s="229">
        <f>+E16</f>
        <v>11223193.98</v>
      </c>
      <c r="E10" s="229">
        <v>9803608</v>
      </c>
      <c r="F10" s="241"/>
      <c r="G10" s="242"/>
      <c r="H10" s="19"/>
      <c r="I10" s="19"/>
      <c r="J10" s="19"/>
      <c r="K10" s="19"/>
      <c r="L10" s="19"/>
      <c r="M10" s="19"/>
      <c r="N10" s="19"/>
      <c r="O10" s="19"/>
    </row>
    <row r="11" spans="1:15" ht="14.25" x14ac:dyDescent="0.2">
      <c r="A11" s="221"/>
      <c r="B11" s="221"/>
      <c r="C11" s="447"/>
      <c r="D11" s="448"/>
      <c r="E11" s="448"/>
      <c r="F11" s="19"/>
      <c r="G11" s="19"/>
      <c r="H11" s="19"/>
      <c r="I11" s="19"/>
      <c r="J11" s="19"/>
      <c r="K11" s="19"/>
      <c r="L11" s="19"/>
      <c r="M11" s="19"/>
      <c r="N11" s="19"/>
      <c r="O11" s="19"/>
    </row>
    <row r="12" spans="1:15" ht="14.25" x14ac:dyDescent="0.2">
      <c r="A12" s="221" t="s">
        <v>373</v>
      </c>
      <c r="B12" s="231"/>
      <c r="C12" s="447">
        <f>'Comprehensive Income'!C26</f>
        <v>1358635.8800000027</v>
      </c>
      <c r="D12" s="534">
        <f>+'Comprehensive Income'!D30</f>
        <v>-1132509</v>
      </c>
      <c r="E12" s="447">
        <f>+'Comprehensive Income'!E30</f>
        <v>1419586.9800000004</v>
      </c>
      <c r="F12" s="19"/>
      <c r="G12" s="19"/>
      <c r="H12" s="535" t="s">
        <v>1014</v>
      </c>
      <c r="I12" s="19"/>
      <c r="J12" s="19"/>
      <c r="K12" s="19"/>
      <c r="L12" s="19"/>
      <c r="M12" s="19"/>
      <c r="N12" s="19"/>
      <c r="O12" s="19"/>
    </row>
    <row r="13" spans="1:15" ht="14.25" x14ac:dyDescent="0.2">
      <c r="A13" s="221" t="s">
        <v>374</v>
      </c>
      <c r="B13" s="231"/>
      <c r="C13" s="448" t="s">
        <v>818</v>
      </c>
      <c r="D13" s="448" t="s">
        <v>818</v>
      </c>
      <c r="E13" s="447" t="s">
        <v>818</v>
      </c>
      <c r="F13" s="19"/>
      <c r="G13" s="19"/>
      <c r="H13" s="39"/>
      <c r="I13" s="19"/>
      <c r="J13" s="19"/>
      <c r="K13" s="19"/>
      <c r="L13" s="19"/>
      <c r="M13" s="19"/>
      <c r="N13" s="19"/>
      <c r="O13" s="19"/>
    </row>
    <row r="14" spans="1:15" ht="14.25" x14ac:dyDescent="0.2">
      <c r="A14" s="221" t="s">
        <v>375</v>
      </c>
      <c r="B14" s="231"/>
      <c r="C14" s="448" t="s">
        <v>818</v>
      </c>
      <c r="D14" s="448" t="s">
        <v>818</v>
      </c>
      <c r="E14" s="447" t="s">
        <v>818</v>
      </c>
      <c r="F14" s="19"/>
      <c r="G14" s="19"/>
      <c r="H14" s="39"/>
      <c r="I14" s="19"/>
      <c r="J14" s="19"/>
      <c r="K14" s="19"/>
      <c r="L14" s="19"/>
      <c r="M14" s="19"/>
      <c r="N14" s="19"/>
      <c r="O14" s="19"/>
    </row>
    <row r="15" spans="1:15" ht="14.25" x14ac:dyDescent="0.2">
      <c r="A15" s="221" t="s">
        <v>630</v>
      </c>
      <c r="B15" s="231"/>
      <c r="C15" s="448" t="s">
        <v>818</v>
      </c>
      <c r="D15" s="448" t="s">
        <v>818</v>
      </c>
      <c r="E15" s="448" t="s">
        <v>818</v>
      </c>
      <c r="F15" s="19"/>
      <c r="G15" s="19"/>
      <c r="H15" s="19"/>
      <c r="I15" s="19"/>
      <c r="J15" s="19"/>
      <c r="K15" s="19"/>
      <c r="L15" s="19"/>
      <c r="M15" s="19"/>
      <c r="N15" s="19"/>
      <c r="O15" s="19"/>
    </row>
    <row r="16" spans="1:15" ht="15.75" thickBot="1" x14ac:dyDescent="0.3">
      <c r="A16" s="230"/>
      <c r="B16" s="231"/>
      <c r="C16" s="229">
        <f>SUM(C10:C15)</f>
        <v>12581829.860000003</v>
      </c>
      <c r="D16" s="229">
        <f>SUM(D10:D15)</f>
        <v>10090684.98</v>
      </c>
      <c r="E16" s="229">
        <f>SUM(E10:E15)-1</f>
        <v>11223193.98</v>
      </c>
      <c r="F16" s="19"/>
      <c r="G16" s="19"/>
      <c r="H16" s="19"/>
      <c r="I16" s="19"/>
      <c r="J16" s="19"/>
      <c r="K16" s="19"/>
      <c r="L16" s="19"/>
      <c r="M16" s="535" t="s">
        <v>1014</v>
      </c>
      <c r="N16" s="19"/>
      <c r="O16" s="19"/>
    </row>
    <row r="17" spans="1:15" ht="14.25" x14ac:dyDescent="0.2">
      <c r="A17" s="221"/>
      <c r="B17" s="231"/>
      <c r="C17" s="449"/>
      <c r="D17" s="449"/>
      <c r="E17" s="450"/>
      <c r="F17" s="241"/>
      <c r="G17" s="19"/>
      <c r="H17" s="19"/>
      <c r="I17" s="19"/>
      <c r="J17" s="19"/>
      <c r="K17" s="19"/>
      <c r="L17" s="19"/>
      <c r="M17" s="19"/>
      <c r="N17" s="19"/>
      <c r="O17" s="19"/>
    </row>
    <row r="18" spans="1:15" ht="14.25" x14ac:dyDescent="0.2">
      <c r="A18" s="221" t="s">
        <v>376</v>
      </c>
      <c r="B18" s="231"/>
      <c r="C18" s="449">
        <f>+C16</f>
        <v>12581829.860000003</v>
      </c>
      <c r="D18" s="449">
        <f>+D16</f>
        <v>10090684.98</v>
      </c>
      <c r="E18" s="450">
        <f>+E16</f>
        <v>11223193.98</v>
      </c>
      <c r="F18" s="241"/>
      <c r="G18" s="19"/>
      <c r="H18" s="19"/>
      <c r="I18" s="19"/>
      <c r="J18" s="19"/>
      <c r="K18" s="19"/>
      <c r="L18" s="19"/>
      <c r="M18" s="19"/>
      <c r="N18" s="19"/>
      <c r="O18" s="19"/>
    </row>
    <row r="19" spans="1:15" ht="14.25" x14ac:dyDescent="0.2">
      <c r="A19" s="221" t="s">
        <v>377</v>
      </c>
      <c r="B19" s="231"/>
      <c r="C19" s="449"/>
      <c r="D19" s="449"/>
      <c r="E19" s="450"/>
      <c r="F19" s="241"/>
      <c r="G19" s="19"/>
      <c r="H19" s="19"/>
      <c r="I19" s="19"/>
      <c r="J19" s="19"/>
      <c r="K19" s="19"/>
      <c r="L19" s="19"/>
      <c r="M19" s="19"/>
      <c r="N19" s="19"/>
      <c r="O19" s="19"/>
    </row>
    <row r="20" spans="1:15" ht="14.25" x14ac:dyDescent="0.2">
      <c r="A20" s="221"/>
      <c r="B20" s="231"/>
      <c r="C20" s="449"/>
      <c r="D20" s="449"/>
      <c r="E20" s="450"/>
      <c r="F20" s="241"/>
      <c r="G20" s="19"/>
      <c r="H20" s="19"/>
      <c r="I20" s="19"/>
      <c r="J20" s="19"/>
      <c r="K20" s="19"/>
      <c r="L20" s="19"/>
      <c r="M20" s="19"/>
      <c r="N20" s="19"/>
      <c r="O20" s="19"/>
    </row>
    <row r="21" spans="1:15" ht="14.25" x14ac:dyDescent="0.2">
      <c r="A21" s="221" t="s">
        <v>631</v>
      </c>
      <c r="B21" s="231"/>
      <c r="C21" s="449">
        <f>+E23</f>
        <v>208028</v>
      </c>
      <c r="D21" s="448" t="s">
        <v>818</v>
      </c>
      <c r="E21" s="448">
        <v>209528</v>
      </c>
      <c r="F21" s="19"/>
      <c r="G21" s="19"/>
      <c r="H21" s="19"/>
      <c r="I21" s="19"/>
      <c r="J21" s="19"/>
      <c r="K21" s="19"/>
      <c r="L21" s="19"/>
      <c r="M21" s="19"/>
      <c r="N21" s="19"/>
      <c r="O21" s="19"/>
    </row>
    <row r="22" spans="1:15" ht="14.25" x14ac:dyDescent="0.2">
      <c r="A22" s="221" t="s">
        <v>632</v>
      </c>
      <c r="B22" s="4"/>
      <c r="C22" s="534">
        <f>+C23-C21</f>
        <v>-1305</v>
      </c>
      <c r="D22" s="448" t="s">
        <v>818</v>
      </c>
      <c r="E22" s="534">
        <v>-1500</v>
      </c>
      <c r="F22" s="19"/>
      <c r="G22" s="19"/>
      <c r="H22" s="19"/>
      <c r="I22" s="19"/>
      <c r="J22" s="19"/>
      <c r="K22" s="19"/>
      <c r="L22" s="19"/>
      <c r="M22" s="19"/>
      <c r="N22" s="19"/>
      <c r="O22" s="19"/>
    </row>
    <row r="23" spans="1:15" ht="15" thickBot="1" x14ac:dyDescent="0.25">
      <c r="A23" s="221" t="s">
        <v>633</v>
      </c>
      <c r="B23" s="4"/>
      <c r="C23" s="451">
        <f>+'Codes allocation'!D1054</f>
        <v>206723</v>
      </c>
      <c r="D23" s="321">
        <f>+E23</f>
        <v>208028</v>
      </c>
      <c r="E23" s="451">
        <f>+E21+E22</f>
        <v>208028</v>
      </c>
      <c r="F23" s="19"/>
      <c r="G23" s="19"/>
      <c r="H23" s="19"/>
      <c r="I23" s="19"/>
      <c r="J23" s="19"/>
      <c r="K23" s="19"/>
      <c r="L23" s="19"/>
      <c r="M23" s="19"/>
      <c r="N23" s="19"/>
      <c r="O23" s="19"/>
    </row>
    <row r="24" spans="1:15" ht="13.5" thickTop="1" x14ac:dyDescent="0.2">
      <c r="A24" s="246"/>
      <c r="B24" s="248"/>
      <c r="C24" s="452"/>
      <c r="D24" s="452"/>
      <c r="E24" s="452"/>
      <c r="F24" s="19"/>
      <c r="G24" s="19"/>
      <c r="H24" s="19"/>
      <c r="I24" s="19"/>
      <c r="J24" s="19"/>
      <c r="K24" s="19"/>
      <c r="L24" s="19"/>
      <c r="M24" s="19"/>
      <c r="N24" s="19"/>
      <c r="O24" s="19"/>
    </row>
    <row r="25" spans="1:15" ht="16.5" thickBot="1" x14ac:dyDescent="0.25">
      <c r="A25" s="247" t="s">
        <v>1354</v>
      </c>
      <c r="B25" s="248"/>
      <c r="C25" s="453">
        <f>+C16+C23</f>
        <v>12788552.860000003</v>
      </c>
      <c r="D25" s="453">
        <f>+D16+D23</f>
        <v>10298712.98</v>
      </c>
      <c r="E25" s="453">
        <f>+E16+E23-1</f>
        <v>11431220.98</v>
      </c>
      <c r="F25" s="19"/>
      <c r="G25" s="19"/>
      <c r="H25" s="19"/>
      <c r="I25" s="19"/>
      <c r="J25" s="19"/>
      <c r="K25" s="19"/>
      <c r="L25" s="19"/>
      <c r="M25" s="19"/>
      <c r="N25" s="19"/>
      <c r="O25" s="19"/>
    </row>
    <row r="26" spans="1:15" ht="13.5" thickTop="1" x14ac:dyDescent="0.2">
      <c r="A26" s="107"/>
      <c r="B26" s="107"/>
      <c r="C26" s="454"/>
      <c r="D26" s="454"/>
      <c r="E26" s="454"/>
      <c r="F26" s="19"/>
      <c r="G26" s="19"/>
      <c r="H26" s="19"/>
      <c r="I26" s="19"/>
      <c r="J26" s="19"/>
      <c r="K26" s="19"/>
      <c r="L26" s="19"/>
      <c r="M26" s="19"/>
      <c r="N26" s="19"/>
      <c r="O26" s="19"/>
    </row>
    <row r="27" spans="1:15" x14ac:dyDescent="0.2">
      <c r="A27" s="107"/>
      <c r="B27" s="107"/>
      <c r="C27" s="454"/>
      <c r="D27" s="454"/>
      <c r="E27" s="454"/>
      <c r="F27" s="19"/>
      <c r="G27" s="19"/>
      <c r="H27" s="19"/>
      <c r="I27" s="19"/>
      <c r="J27" s="19"/>
      <c r="K27" s="19"/>
      <c r="L27" s="19"/>
      <c r="M27" s="19"/>
      <c r="N27" s="19"/>
      <c r="O27" s="19"/>
    </row>
    <row r="28" spans="1:15" x14ac:dyDescent="0.2">
      <c r="A28" s="107"/>
      <c r="B28" s="107"/>
      <c r="C28" s="454"/>
      <c r="D28" s="454"/>
      <c r="E28" s="454"/>
      <c r="F28" s="19"/>
      <c r="G28" s="19"/>
      <c r="H28" s="19"/>
      <c r="I28" s="19"/>
      <c r="J28" s="19"/>
      <c r="K28" s="19"/>
      <c r="L28" s="19"/>
      <c r="M28" s="19"/>
      <c r="N28" s="19"/>
      <c r="O28" s="19"/>
    </row>
    <row r="29" spans="1:15" x14ac:dyDescent="0.2">
      <c r="A29" s="107"/>
      <c r="B29" s="107"/>
      <c r="C29" s="454"/>
      <c r="D29" s="454"/>
      <c r="E29" s="454"/>
      <c r="F29" s="19"/>
      <c r="G29" s="19"/>
      <c r="H29" s="19"/>
      <c r="I29" s="19"/>
      <c r="J29" s="19"/>
      <c r="K29" s="19"/>
      <c r="L29" s="19"/>
      <c r="M29" s="19"/>
      <c r="N29" s="19"/>
      <c r="O29" s="19"/>
    </row>
    <row r="30" spans="1:15" x14ac:dyDescent="0.2">
      <c r="A30" s="107"/>
      <c r="B30" s="107"/>
      <c r="C30" s="107"/>
      <c r="D30" s="107"/>
      <c r="E30" s="107"/>
      <c r="F30" s="19"/>
      <c r="G30" s="19"/>
      <c r="H30" s="19"/>
      <c r="I30" s="19"/>
      <c r="J30" s="19"/>
      <c r="K30" s="19"/>
      <c r="L30" s="19"/>
      <c r="M30" s="19"/>
      <c r="N30" s="19"/>
      <c r="O30" s="19"/>
    </row>
    <row r="31" spans="1:15" x14ac:dyDescent="0.2">
      <c r="A31" s="107"/>
      <c r="B31" s="107"/>
      <c r="C31" s="107"/>
      <c r="D31" s="107"/>
      <c r="E31" s="107"/>
      <c r="F31" s="19"/>
      <c r="G31" s="19"/>
      <c r="H31" s="19"/>
      <c r="I31" s="19"/>
      <c r="J31" s="19"/>
      <c r="K31" s="19"/>
      <c r="L31" s="19"/>
      <c r="M31" s="19"/>
      <c r="N31" s="19"/>
      <c r="O31" s="19"/>
    </row>
    <row r="32" spans="1:15" x14ac:dyDescent="0.2">
      <c r="A32" s="107"/>
      <c r="B32" s="107"/>
      <c r="C32" s="107"/>
      <c r="D32" s="107"/>
      <c r="E32" s="107"/>
      <c r="F32" s="19"/>
      <c r="G32" s="19"/>
      <c r="H32" s="19"/>
      <c r="I32" s="19"/>
      <c r="J32" s="19"/>
      <c r="K32" s="19"/>
      <c r="L32" s="19"/>
      <c r="M32" s="19"/>
      <c r="N32" s="19"/>
      <c r="O32" s="19"/>
    </row>
    <row r="33" spans="1:15" x14ac:dyDescent="0.2">
      <c r="A33" s="107"/>
      <c r="B33" s="107"/>
      <c r="C33" s="107"/>
      <c r="D33" s="107"/>
      <c r="E33" s="107"/>
      <c r="F33" s="19"/>
      <c r="G33" s="19"/>
      <c r="H33" s="19"/>
      <c r="I33" s="19"/>
      <c r="J33" s="19"/>
      <c r="K33" s="19"/>
      <c r="L33" s="19"/>
      <c r="M33" s="19"/>
      <c r="N33" s="19"/>
      <c r="O33" s="19"/>
    </row>
    <row r="34" spans="1:15" x14ac:dyDescent="0.2">
      <c r="A34" s="107"/>
      <c r="B34" s="107"/>
      <c r="C34" s="107"/>
      <c r="D34" s="107"/>
      <c r="E34" s="107"/>
      <c r="F34" s="19"/>
      <c r="G34" s="19"/>
      <c r="H34" s="19"/>
      <c r="I34" s="19"/>
      <c r="J34" s="19"/>
      <c r="K34" s="19"/>
      <c r="L34" s="19"/>
      <c r="M34" s="19"/>
      <c r="N34" s="19"/>
      <c r="O34" s="19"/>
    </row>
    <row r="35" spans="1:15" x14ac:dyDescent="0.2">
      <c r="A35" s="107"/>
      <c r="B35" s="107"/>
      <c r="C35" s="107"/>
      <c r="D35" s="107"/>
      <c r="E35" s="107"/>
      <c r="F35" s="19"/>
      <c r="G35" s="19"/>
      <c r="H35" s="19"/>
      <c r="I35" s="19"/>
      <c r="J35" s="19"/>
      <c r="K35" s="19"/>
      <c r="L35" s="19"/>
      <c r="M35" s="19"/>
      <c r="N35" s="19"/>
      <c r="O35" s="19"/>
    </row>
    <row r="36" spans="1:15" x14ac:dyDescent="0.2">
      <c r="A36" s="107"/>
      <c r="B36" s="107"/>
      <c r="C36" s="107"/>
      <c r="D36" s="107"/>
      <c r="E36" s="107"/>
      <c r="F36" s="19"/>
      <c r="G36" s="19"/>
      <c r="H36" s="19"/>
      <c r="I36" s="19"/>
      <c r="J36" s="19"/>
      <c r="K36" s="19"/>
      <c r="L36" s="19"/>
      <c r="M36" s="19"/>
      <c r="N36" s="19"/>
      <c r="O36" s="19"/>
    </row>
    <row r="37" spans="1:15" x14ac:dyDescent="0.2">
      <c r="A37" s="107"/>
      <c r="B37" s="107"/>
      <c r="C37" s="107"/>
      <c r="D37" s="107"/>
      <c r="E37" s="107"/>
      <c r="F37" s="19"/>
      <c r="G37" s="19"/>
      <c r="H37" s="19"/>
      <c r="I37" s="19"/>
      <c r="J37" s="19"/>
      <c r="K37" s="19"/>
      <c r="L37" s="19"/>
      <c r="M37" s="19"/>
      <c r="N37" s="19"/>
      <c r="O37" s="19"/>
    </row>
    <row r="38" spans="1:15" x14ac:dyDescent="0.2">
      <c r="A38" s="84" t="s">
        <v>1003</v>
      </c>
      <c r="B38" s="201"/>
      <c r="C38" s="201"/>
      <c r="D38" s="201"/>
      <c r="E38" s="201"/>
      <c r="F38" s="19"/>
      <c r="G38" s="19"/>
      <c r="H38" s="19"/>
      <c r="I38" s="19"/>
      <c r="J38" s="19"/>
      <c r="K38" s="19"/>
      <c r="L38" s="19"/>
      <c r="M38" s="19"/>
      <c r="N38" s="19"/>
      <c r="O38" s="19"/>
    </row>
    <row r="39" spans="1:15" x14ac:dyDescent="0.2">
      <c r="A39" s="591"/>
      <c r="B39" s="591"/>
      <c r="C39" s="591"/>
      <c r="D39" s="591"/>
      <c r="E39" s="591"/>
      <c r="F39" s="19"/>
      <c r="G39" s="19"/>
      <c r="H39" s="19"/>
      <c r="I39" s="19"/>
      <c r="J39" s="19"/>
      <c r="K39" s="19"/>
      <c r="L39" s="19"/>
      <c r="M39" s="19"/>
      <c r="N39" s="19"/>
      <c r="O39" s="19"/>
    </row>
    <row r="40" spans="1:15" ht="20.25" customHeight="1" x14ac:dyDescent="0.2">
      <c r="A40" s="7"/>
      <c r="F40" s="19"/>
      <c r="G40" s="19"/>
      <c r="H40" s="19"/>
      <c r="I40" s="19"/>
      <c r="J40" s="19"/>
      <c r="K40" s="19"/>
      <c r="L40" s="19"/>
      <c r="M40" s="19"/>
      <c r="N40" s="19"/>
      <c r="O40" s="19"/>
    </row>
    <row r="41" spans="1:15" s="8" customFormat="1" x14ac:dyDescent="0.2">
      <c r="A41" s="108"/>
      <c r="B41" s="108"/>
      <c r="C41" s="108"/>
      <c r="D41" s="109"/>
      <c r="E41" s="109"/>
      <c r="F41" s="243"/>
      <c r="G41" s="18"/>
      <c r="H41" s="18"/>
      <c r="I41" s="18"/>
      <c r="J41" s="18"/>
      <c r="K41" s="18"/>
      <c r="L41" s="18"/>
      <c r="M41" s="18"/>
      <c r="N41" s="18"/>
      <c r="O41" s="18"/>
    </row>
    <row r="42" spans="1:15" x14ac:dyDescent="0.2">
      <c r="A42" s="108"/>
      <c r="B42" s="108"/>
      <c r="C42" s="108"/>
      <c r="D42" s="109"/>
      <c r="E42" s="109"/>
      <c r="F42" s="243"/>
      <c r="G42" s="19"/>
      <c r="H42" s="19"/>
      <c r="I42" s="19"/>
      <c r="J42" s="19"/>
      <c r="K42" s="19"/>
      <c r="L42" s="19"/>
      <c r="M42" s="19"/>
      <c r="N42" s="19"/>
      <c r="O42" s="19"/>
    </row>
    <row r="43" spans="1:15" x14ac:dyDescent="0.2">
      <c r="A43" s="108"/>
      <c r="B43" s="108"/>
      <c r="C43" s="108"/>
      <c r="D43" s="109"/>
      <c r="E43" s="109"/>
      <c r="F43" s="110"/>
    </row>
    <row r="44" spans="1:15" x14ac:dyDescent="0.2">
      <c r="A44" s="108"/>
      <c r="B44" s="108"/>
      <c r="C44" s="108"/>
      <c r="D44" s="109"/>
      <c r="E44" s="109"/>
      <c r="F44" s="110"/>
    </row>
    <row r="45" spans="1:15" x14ac:dyDescent="0.2">
      <c r="A45" s="108"/>
      <c r="B45" s="108"/>
      <c r="C45" s="108"/>
      <c r="D45" s="109"/>
      <c r="E45" s="109"/>
      <c r="F45" s="110"/>
    </row>
    <row r="46" spans="1:15" x14ac:dyDescent="0.2">
      <c r="A46" s="108"/>
      <c r="B46" s="108"/>
      <c r="C46" s="108"/>
      <c r="D46" s="109"/>
      <c r="E46" s="109"/>
      <c r="F46" s="110"/>
    </row>
    <row r="47" spans="1:15" x14ac:dyDescent="0.2">
      <c r="A47" s="108"/>
      <c r="B47" s="108"/>
      <c r="C47" s="108"/>
      <c r="D47" s="109"/>
      <c r="E47" s="109"/>
      <c r="F47" s="110"/>
    </row>
    <row r="49" spans="1:5" x14ac:dyDescent="0.2">
      <c r="A49" s="6"/>
      <c r="B49" s="6"/>
      <c r="C49" s="6"/>
      <c r="D49" s="6"/>
      <c r="E49" s="6"/>
    </row>
    <row r="51" spans="1:5" x14ac:dyDescent="0.2">
      <c r="B51" s="7"/>
      <c r="C51" s="7"/>
      <c r="D51" s="21"/>
      <c r="E51" s="21"/>
    </row>
    <row r="54" spans="1:5" x14ac:dyDescent="0.2">
      <c r="A54" s="22"/>
      <c r="B54" s="23"/>
      <c r="C54" s="17"/>
      <c r="D54" s="17"/>
      <c r="E54" s="17"/>
    </row>
    <row r="55" spans="1:5" x14ac:dyDescent="0.2">
      <c r="A55" s="20"/>
      <c r="B55" s="4"/>
      <c r="C55" s="3"/>
    </row>
  </sheetData>
  <customSheetViews>
    <customSheetView guid="{2F1C2500-C7E9-11D7-BAB9-00065B3658C6}" showGridLines="0" showRuler="0">
      <selection activeCell="D25" sqref="D25"/>
      <pageMargins left="0.23622047244094491" right="0.23622047244094491" top="0.51181102362204722" bottom="0.51181102362204722" header="0.51181102362204722" footer="0.51181102362204722"/>
      <printOptions horizontalCentered="1"/>
      <pageSetup paperSize="9" orientation="portrait" verticalDpi="0" r:id="rId1"/>
      <headerFooter alignWithMargins="0"/>
    </customSheetView>
    <customSheetView guid="{16158AC0-BDC0-11D7-BABA-AD30328A5118}" showPageBreaks="1" showGridLines="0" printArea="1" showRuler="0">
      <selection activeCell="D25" sqref="D25"/>
      <pageMargins left="0.23622047244094491" right="0.23622047244094491" top="0.51181102362204722" bottom="0.51181102362204722" header="0.51181102362204722" footer="0.51181102362204722"/>
      <printOptions horizontalCentered="1"/>
      <pageSetup paperSize="9" orientation="portrait" verticalDpi="0" r:id="rId2"/>
      <headerFooter alignWithMargins="0"/>
    </customSheetView>
  </customSheetViews>
  <phoneticPr fontId="16" type="noConversion"/>
  <printOptions horizontalCentered="1"/>
  <pageMargins left="0.70866141732283472" right="0.70866141732283472" top="0.74803149606299213" bottom="0.74803149606299213" header="0.31496062992125984" footer="0.31496062992125984"/>
  <pageSetup paperSize="9" scale="89" orientation="portrait" r:id="rId3"/>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58"/>
  <sheetViews>
    <sheetView showGridLines="0" view="pageBreakPreview" topLeftCell="A7" zoomScale="85" zoomScaleNormal="100" zoomScaleSheetLayoutView="85" workbookViewId="0">
      <selection activeCell="K27" sqref="K27"/>
    </sheetView>
  </sheetViews>
  <sheetFormatPr defaultColWidth="8.85546875" defaultRowHeight="12.75" x14ac:dyDescent="0.2"/>
  <cols>
    <col min="1" max="1" width="41.28515625" style="8" customWidth="1"/>
    <col min="2" max="2" width="8.7109375" style="40" customWidth="1"/>
    <col min="3" max="3" width="12.5703125" style="162" customWidth="1"/>
    <col min="4" max="5" width="12.7109375" style="162" customWidth="1"/>
    <col min="6" max="6" width="10.5703125" bestFit="1" customWidth="1"/>
  </cols>
  <sheetData>
    <row r="1" spans="1:6" s="67" customFormat="1" ht="18" x14ac:dyDescent="0.25">
      <c r="A1" s="314" t="str">
        <f>+Data!B6</f>
        <v>Blind and Low Vision Education Network NZ</v>
      </c>
      <c r="B1" s="424"/>
      <c r="C1" s="425"/>
      <c r="D1" s="425"/>
      <c r="E1" s="425"/>
    </row>
    <row r="2" spans="1:6" ht="23.25" x14ac:dyDescent="0.35">
      <c r="A2" s="419" t="s">
        <v>997</v>
      </c>
      <c r="E2" s="426"/>
    </row>
    <row r="3" spans="1:6" s="13" customFormat="1" ht="18" x14ac:dyDescent="0.2">
      <c r="A3" s="427" t="s">
        <v>1299</v>
      </c>
      <c r="B3" s="427"/>
      <c r="C3" s="427"/>
      <c r="D3" s="427"/>
      <c r="E3" s="427"/>
    </row>
    <row r="4" spans="1:6" s="7" customFormat="1" ht="15" x14ac:dyDescent="0.25">
      <c r="A4" s="228"/>
      <c r="B4" s="383"/>
      <c r="C4" s="232"/>
      <c r="D4" s="232"/>
      <c r="E4" s="232"/>
    </row>
    <row r="5" spans="1:6" s="24" customFormat="1" ht="15" x14ac:dyDescent="0.25">
      <c r="A5" s="198"/>
      <c r="B5" s="389"/>
      <c r="C5" s="223">
        <v>2018</v>
      </c>
      <c r="D5" s="223">
        <v>2018</v>
      </c>
      <c r="E5" s="223">
        <v>2017</v>
      </c>
    </row>
    <row r="6" spans="1:6" s="24" customFormat="1" ht="15" x14ac:dyDescent="0.25">
      <c r="A6" s="198"/>
      <c r="B6" s="225" t="s">
        <v>804</v>
      </c>
      <c r="C6" s="227" t="s">
        <v>800</v>
      </c>
      <c r="D6" s="227" t="s">
        <v>801</v>
      </c>
      <c r="E6" s="227" t="s">
        <v>800</v>
      </c>
    </row>
    <row r="7" spans="1:6" s="24" customFormat="1" ht="24" customHeight="1" x14ac:dyDescent="0.25">
      <c r="A7" s="198"/>
      <c r="B7" s="225"/>
      <c r="C7" s="227"/>
      <c r="D7" s="390" t="s">
        <v>366</v>
      </c>
      <c r="E7" s="227"/>
    </row>
    <row r="8" spans="1:6" s="24" customFormat="1" ht="15" x14ac:dyDescent="0.25">
      <c r="A8" s="198"/>
      <c r="B8" s="225"/>
      <c r="C8" s="227" t="s">
        <v>799</v>
      </c>
      <c r="D8" s="227" t="s">
        <v>799</v>
      </c>
      <c r="E8" s="227" t="s">
        <v>799</v>
      </c>
    </row>
    <row r="9" spans="1:6" ht="14.25" x14ac:dyDescent="0.2">
      <c r="A9" s="198"/>
      <c r="B9" s="383"/>
      <c r="C9" s="210"/>
      <c r="D9" s="428"/>
      <c r="E9" s="210"/>
    </row>
    <row r="10" spans="1:6" ht="15" x14ac:dyDescent="0.25">
      <c r="A10" s="228" t="s">
        <v>820</v>
      </c>
      <c r="B10" s="383"/>
      <c r="C10" s="210"/>
      <c r="D10" s="428"/>
      <c r="E10" s="210"/>
    </row>
    <row r="11" spans="1:6" ht="14.25" x14ac:dyDescent="0.2">
      <c r="A11" s="198" t="s">
        <v>840</v>
      </c>
      <c r="B11" s="383">
        <f>Notes!A155</f>
        <v>12</v>
      </c>
      <c r="C11" s="146">
        <f>+Notes!F164</f>
        <v>7131473</v>
      </c>
      <c r="D11" s="208">
        <f>+Notes!G164</f>
        <v>1600677</v>
      </c>
      <c r="E11" s="206">
        <f>+Notes!H164</f>
        <v>2723520</v>
      </c>
    </row>
    <row r="12" spans="1:6" ht="14.25" x14ac:dyDescent="0.2">
      <c r="A12" s="198" t="s">
        <v>845</v>
      </c>
      <c r="B12" s="383">
        <f>Notes!A170</f>
        <v>13</v>
      </c>
      <c r="C12" s="146">
        <f>+Notes!F184</f>
        <v>1312254.92</v>
      </c>
      <c r="D12" s="146">
        <f>+Notes!G184</f>
        <v>983286</v>
      </c>
      <c r="E12" s="206">
        <f>+Notes!H180</f>
        <v>983286</v>
      </c>
      <c r="F12" s="355"/>
    </row>
    <row r="13" spans="1:6" ht="14.25" x14ac:dyDescent="0.2">
      <c r="A13" s="198" t="s">
        <v>378</v>
      </c>
      <c r="B13" s="383"/>
      <c r="C13" s="146">
        <f>+'Codes allocation'!D963</f>
        <v>108990</v>
      </c>
      <c r="D13" s="146">
        <f>+'Codes allocation'!F963</f>
        <v>43305</v>
      </c>
      <c r="E13" s="146">
        <f>+'Codes allocation'!H963</f>
        <v>43305</v>
      </c>
    </row>
    <row r="14" spans="1:6" ht="14.25" x14ac:dyDescent="0.2">
      <c r="A14" s="198" t="s">
        <v>808</v>
      </c>
      <c r="B14" s="383"/>
      <c r="C14" s="146">
        <f>+'Codes allocation'!D965</f>
        <v>81153</v>
      </c>
      <c r="D14" s="146">
        <f>+'Codes allocation'!F965</f>
        <v>80262</v>
      </c>
      <c r="E14" s="146">
        <f>+'Codes allocation'!H965</f>
        <v>80262</v>
      </c>
      <c r="F14" s="245"/>
    </row>
    <row r="15" spans="1:6" ht="14.25" x14ac:dyDescent="0.2">
      <c r="A15" s="198" t="s">
        <v>809</v>
      </c>
      <c r="B15" s="383">
        <v>14</v>
      </c>
      <c r="C15" s="146">
        <f>+'Codes allocation'!D967</f>
        <v>2008</v>
      </c>
      <c r="D15" s="146">
        <f>+'Codes allocation'!F967</f>
        <v>3143</v>
      </c>
      <c r="E15" s="146">
        <f>+'Codes allocation'!H967</f>
        <v>3143</v>
      </c>
      <c r="F15" s="245"/>
    </row>
    <row r="16" spans="1:6" ht="14.25" x14ac:dyDescent="0.2">
      <c r="A16" s="198" t="s">
        <v>983</v>
      </c>
      <c r="B16" s="383">
        <f>Notes!A196</f>
        <v>15</v>
      </c>
      <c r="C16" s="147">
        <f>+Notes!F201</f>
        <v>2626043</v>
      </c>
      <c r="D16" s="147">
        <f>+Notes!G201</f>
        <v>6101371</v>
      </c>
      <c r="E16" s="147">
        <f>+Notes!H201</f>
        <v>6101371</v>
      </c>
    </row>
    <row r="17" spans="1:7" ht="14.25" x14ac:dyDescent="0.2">
      <c r="A17" s="198"/>
      <c r="B17" s="383"/>
      <c r="C17" s="146">
        <f>SUM(C11:C16)</f>
        <v>11261921.92</v>
      </c>
      <c r="D17" s="208">
        <f>SUM(D11:D16)</f>
        <v>8812044</v>
      </c>
      <c r="E17" s="206">
        <f>SUM(E11:E16)</f>
        <v>9934887</v>
      </c>
    </row>
    <row r="18" spans="1:7" ht="14.25" x14ac:dyDescent="0.2">
      <c r="A18" s="198"/>
      <c r="B18" s="383"/>
      <c r="C18" s="206"/>
      <c r="D18" s="208"/>
      <c r="E18" s="206"/>
    </row>
    <row r="19" spans="1:7" ht="15" x14ac:dyDescent="0.25">
      <c r="A19" s="228" t="s">
        <v>821</v>
      </c>
      <c r="B19" s="383"/>
      <c r="C19" s="206"/>
      <c r="D19" s="208"/>
      <c r="E19" s="206"/>
    </row>
    <row r="20" spans="1:7" ht="14.25" x14ac:dyDescent="0.2">
      <c r="A20" s="198" t="s">
        <v>844</v>
      </c>
      <c r="B20" s="383">
        <f>Notes!A256</f>
        <v>17</v>
      </c>
      <c r="C20" s="146">
        <f>+Notes!F267</f>
        <v>910467</v>
      </c>
      <c r="D20" s="146">
        <f>+Notes!G267</f>
        <v>875630</v>
      </c>
      <c r="E20" s="206">
        <f>+Notes!H267</f>
        <v>875632</v>
      </c>
      <c r="G20" s="355"/>
    </row>
    <row r="21" spans="1:7" ht="14.25" x14ac:dyDescent="0.2">
      <c r="A21" s="198" t="s">
        <v>379</v>
      </c>
      <c r="B21" s="383">
        <f>Notes!A280</f>
        <v>18</v>
      </c>
      <c r="C21" s="146">
        <f>+Notes!F287</f>
        <v>34309</v>
      </c>
      <c r="D21" s="146">
        <f>+Notes!G287</f>
        <v>30866</v>
      </c>
      <c r="E21" s="206">
        <f>+Notes!H287</f>
        <v>30866</v>
      </c>
      <c r="G21" s="355"/>
    </row>
    <row r="22" spans="1:7" ht="14.25" x14ac:dyDescent="0.2">
      <c r="A22" s="198" t="s">
        <v>841</v>
      </c>
      <c r="B22" s="383">
        <v>19</v>
      </c>
      <c r="C22" s="212">
        <f>+'Codes allocation'!D994</f>
        <v>0</v>
      </c>
      <c r="D22" s="212">
        <f>+'Codes allocation'!F994</f>
        <v>81000</v>
      </c>
      <c r="E22" s="212">
        <f>+'Codes allocation'!H994</f>
        <v>0</v>
      </c>
    </row>
    <row r="23" spans="1:7" ht="14.25" x14ac:dyDescent="0.2">
      <c r="A23" s="198" t="s">
        <v>1229</v>
      </c>
      <c r="B23" s="383">
        <f>+B35</f>
        <v>20</v>
      </c>
      <c r="C23" s="147">
        <f>+Notes!F314</f>
        <v>61185</v>
      </c>
      <c r="D23" s="147">
        <f>+Notes!G314</f>
        <v>37763</v>
      </c>
      <c r="E23" s="147">
        <f>+Notes!H314</f>
        <v>37763</v>
      </c>
    </row>
    <row r="24" spans="1:7" ht="15" x14ac:dyDescent="0.25">
      <c r="A24" s="228"/>
      <c r="B24" s="383"/>
      <c r="C24" s="206">
        <f>SUM(C20:C23)</f>
        <v>1005961</v>
      </c>
      <c r="D24" s="208">
        <f>SUM(D20:D23)</f>
        <v>1025259</v>
      </c>
      <c r="E24" s="206">
        <f>SUM(E20:E23)</f>
        <v>944261</v>
      </c>
      <c r="F24" s="245"/>
    </row>
    <row r="25" spans="1:7" ht="14.25" x14ac:dyDescent="0.2">
      <c r="A25" s="198"/>
      <c r="B25" s="383"/>
      <c r="C25" s="208"/>
      <c r="D25" s="208"/>
      <c r="E25" s="208"/>
    </row>
    <row r="26" spans="1:7" ht="15" x14ac:dyDescent="0.25">
      <c r="A26" s="228" t="s">
        <v>380</v>
      </c>
      <c r="B26" s="383"/>
      <c r="C26" s="146">
        <f>C17-C24</f>
        <v>10255960.92</v>
      </c>
      <c r="D26" s="208">
        <f>D17-D24</f>
        <v>7786785</v>
      </c>
      <c r="E26" s="146">
        <f>E17-E24</f>
        <v>8990626</v>
      </c>
    </row>
    <row r="27" spans="1:7" ht="14.25" x14ac:dyDescent="0.2">
      <c r="A27" s="198"/>
      <c r="B27" s="383"/>
      <c r="C27" s="206"/>
      <c r="D27" s="208"/>
      <c r="E27" s="206"/>
    </row>
    <row r="28" spans="1:7" ht="15" x14ac:dyDescent="0.25">
      <c r="A28" s="228" t="s">
        <v>1000</v>
      </c>
      <c r="B28" s="383"/>
      <c r="C28" s="206"/>
      <c r="D28" s="208"/>
      <c r="E28" s="206"/>
    </row>
    <row r="29" spans="1:7" ht="14.25" hidden="1" x14ac:dyDescent="0.2">
      <c r="A29" s="198" t="s">
        <v>63</v>
      </c>
      <c r="B29" s="383"/>
      <c r="C29" s="206">
        <v>0</v>
      </c>
      <c r="D29" s="208">
        <v>0</v>
      </c>
      <c r="E29" s="206">
        <v>0</v>
      </c>
    </row>
    <row r="30" spans="1:7" ht="14.25" x14ac:dyDescent="0.2">
      <c r="A30" s="198" t="s">
        <v>842</v>
      </c>
      <c r="B30" s="383">
        <f>Notes!A210</f>
        <v>16</v>
      </c>
      <c r="C30" s="212">
        <f>+Notes!I231</f>
        <v>2745959</v>
      </c>
      <c r="D30" s="208">
        <f>'Codes allocation'!F997</f>
        <v>2595331</v>
      </c>
      <c r="E30" s="208">
        <f>+Notes!I241</f>
        <v>2641661</v>
      </c>
      <c r="F30" s="19"/>
      <c r="G30" s="355"/>
    </row>
    <row r="31" spans="1:7" ht="14.25" hidden="1" x14ac:dyDescent="0.2">
      <c r="A31" s="198" t="s">
        <v>991</v>
      </c>
      <c r="B31" s="383">
        <v>15</v>
      </c>
      <c r="C31" s="207">
        <f>+Notes!F205</f>
        <v>0</v>
      </c>
      <c r="D31" s="207">
        <v>0</v>
      </c>
      <c r="E31" s="207">
        <f>+Notes!H205</f>
        <v>0</v>
      </c>
    </row>
    <row r="32" spans="1:7" ht="15" x14ac:dyDescent="0.25">
      <c r="A32" s="228"/>
      <c r="B32" s="383"/>
      <c r="C32" s="539">
        <f>SUM(C29:C31)</f>
        <v>2745959</v>
      </c>
      <c r="D32" s="539">
        <f>SUM(D29:D31)</f>
        <v>2595331</v>
      </c>
      <c r="E32" s="209">
        <f>SUM(E29:E31)</f>
        <v>2641661</v>
      </c>
    </row>
    <row r="33" spans="1:5" ht="14.25" x14ac:dyDescent="0.2">
      <c r="A33" s="198"/>
      <c r="B33" s="383"/>
      <c r="C33" s="206"/>
      <c r="D33" s="208"/>
      <c r="E33" s="206"/>
    </row>
    <row r="34" spans="1:5" ht="15" x14ac:dyDescent="0.25">
      <c r="A34" s="228" t="s">
        <v>1001</v>
      </c>
      <c r="B34" s="383"/>
      <c r="C34" s="206"/>
      <c r="D34" s="208"/>
      <c r="E34" s="206"/>
    </row>
    <row r="35" spans="1:5" ht="14.25" x14ac:dyDescent="0.2">
      <c r="A35" s="198" t="s">
        <v>1228</v>
      </c>
      <c r="B35" s="383">
        <f>+Notes!A306</f>
        <v>20</v>
      </c>
      <c r="C35" s="206">
        <f>+Notes!F315</f>
        <v>80130</v>
      </c>
      <c r="D35" s="206">
        <f>+Notes!G315</f>
        <v>27470</v>
      </c>
      <c r="E35" s="206">
        <f>Notes!H315</f>
        <v>79944</v>
      </c>
    </row>
    <row r="36" spans="1:5" ht="14.25" x14ac:dyDescent="0.2">
      <c r="A36" s="198" t="s">
        <v>841</v>
      </c>
      <c r="B36" s="383">
        <v>19</v>
      </c>
      <c r="C36" s="147">
        <f>+'Codes allocation'!D995</f>
        <v>133237</v>
      </c>
      <c r="D36" s="207">
        <v>55933</v>
      </c>
      <c r="E36" s="207">
        <f>+Notes!H301</f>
        <v>121122</v>
      </c>
    </row>
    <row r="37" spans="1:5" ht="15" x14ac:dyDescent="0.25">
      <c r="A37" s="228"/>
      <c r="B37" s="383"/>
      <c r="C37" s="146">
        <f>SUM(C35:C36)</f>
        <v>213367</v>
      </c>
      <c r="D37" s="146">
        <f>SUM(D35:D36)</f>
        <v>83403</v>
      </c>
      <c r="E37" s="206">
        <f>SUM(E35:E36)</f>
        <v>201066</v>
      </c>
    </row>
    <row r="38" spans="1:5" ht="14.25" x14ac:dyDescent="0.2">
      <c r="A38" s="198"/>
      <c r="B38" s="383"/>
      <c r="C38" s="208"/>
      <c r="D38" s="208"/>
      <c r="E38" s="208"/>
    </row>
    <row r="39" spans="1:5" ht="15.75" thickBot="1" x14ac:dyDescent="0.3">
      <c r="A39" s="228" t="s">
        <v>823</v>
      </c>
      <c r="B39" s="383"/>
      <c r="C39" s="200">
        <f>C26+C32-C37</f>
        <v>12788552.92</v>
      </c>
      <c r="D39" s="233">
        <f>D26+D32-D37</f>
        <v>10298713</v>
      </c>
      <c r="E39" s="233">
        <f>E26+E32-E37</f>
        <v>11431221</v>
      </c>
    </row>
    <row r="40" spans="1:5" ht="15" thickTop="1" x14ac:dyDescent="0.2">
      <c r="A40" s="198"/>
      <c r="B40" s="383"/>
      <c r="C40" s="232"/>
      <c r="D40" s="232"/>
      <c r="E40" s="211"/>
    </row>
    <row r="41" spans="1:5" ht="14.25" x14ac:dyDescent="0.2">
      <c r="A41" s="198"/>
      <c r="B41" s="383"/>
      <c r="C41" s="232"/>
      <c r="D41" s="232"/>
      <c r="E41" s="211"/>
    </row>
    <row r="42" spans="1:5" ht="15.75" thickBot="1" x14ac:dyDescent="0.3">
      <c r="A42" s="228" t="s">
        <v>994</v>
      </c>
      <c r="B42" s="383"/>
      <c r="C42" s="200">
        <f>+Equity!C25</f>
        <v>12788552.860000003</v>
      </c>
      <c r="D42" s="233">
        <f>+Equity!D25</f>
        <v>10298712.98</v>
      </c>
      <c r="E42" s="233">
        <f>+Equity!E25</f>
        <v>11431220.98</v>
      </c>
    </row>
    <row r="43" spans="1:5" ht="15" thickTop="1" x14ac:dyDescent="0.2">
      <c r="A43" s="198"/>
      <c r="B43" s="383"/>
      <c r="C43" s="232"/>
      <c r="D43" s="232"/>
      <c r="E43" s="211"/>
    </row>
    <row r="44" spans="1:5" ht="14.25" x14ac:dyDescent="0.2">
      <c r="A44" s="198"/>
      <c r="B44" s="383"/>
      <c r="C44" s="232"/>
      <c r="D44" s="232"/>
      <c r="E44" s="211"/>
    </row>
    <row r="45" spans="1:5" ht="14.25" x14ac:dyDescent="0.2">
      <c r="A45" s="198"/>
      <c r="B45" s="383"/>
      <c r="C45" s="232"/>
      <c r="D45" s="232"/>
      <c r="E45" s="211"/>
    </row>
    <row r="46" spans="1:5" ht="14.25" x14ac:dyDescent="0.2">
      <c r="A46" s="198"/>
      <c r="B46" s="383"/>
      <c r="C46" s="232"/>
      <c r="D46" s="232"/>
      <c r="E46" s="211"/>
    </row>
    <row r="47" spans="1:5" ht="14.25" x14ac:dyDescent="0.2">
      <c r="A47" s="198"/>
      <c r="B47" s="383"/>
      <c r="C47" s="232"/>
      <c r="D47" s="232"/>
      <c r="E47" s="211"/>
    </row>
    <row r="48" spans="1:5" x14ac:dyDescent="0.2">
      <c r="C48" s="28"/>
      <c r="D48" s="28"/>
      <c r="E48" s="28"/>
    </row>
    <row r="49" spans="1:5" x14ac:dyDescent="0.2">
      <c r="A49" s="421" t="s">
        <v>1002</v>
      </c>
      <c r="C49" s="28"/>
      <c r="D49" s="29"/>
      <c r="E49" s="28"/>
    </row>
    <row r="50" spans="1:5" x14ac:dyDescent="0.2">
      <c r="C50" s="60">
        <f>+C39-C42</f>
        <v>5.9999996796250343E-2</v>
      </c>
      <c r="D50" s="60">
        <f>+D39-D42</f>
        <v>1.9999999552965164E-2</v>
      </c>
      <c r="E50" s="60">
        <f>+E39-E42</f>
        <v>1.9999999552965164E-2</v>
      </c>
    </row>
    <row r="51" spans="1:5" x14ac:dyDescent="0.2">
      <c r="E51" s="29"/>
    </row>
    <row r="52" spans="1:5" x14ac:dyDescent="0.2">
      <c r="E52" s="29"/>
    </row>
    <row r="53" spans="1:5" x14ac:dyDescent="0.2">
      <c r="E53" s="29"/>
    </row>
    <row r="54" spans="1:5" x14ac:dyDescent="0.2">
      <c r="E54" s="29"/>
    </row>
    <row r="55" spans="1:5" s="7" customFormat="1" x14ac:dyDescent="0.2">
      <c r="A55" s="11"/>
      <c r="B55" s="422"/>
      <c r="C55" s="166"/>
      <c r="D55" s="166"/>
      <c r="E55" s="166"/>
    </row>
    <row r="58" spans="1:5" s="24" customFormat="1" x14ac:dyDescent="0.2">
      <c r="A58" s="50"/>
      <c r="B58" s="50"/>
      <c r="C58" s="50"/>
      <c r="D58" s="50"/>
      <c r="E58" s="51"/>
    </row>
  </sheetData>
  <customSheetViews>
    <customSheetView guid="{2F1C2500-C7E9-11D7-BAB9-00065B3658C6}" showGridLines="0" showRuler="0">
      <selection activeCell="F13" sqref="F13"/>
      <pageMargins left="0.74803149606299213" right="0.74803149606299213" top="0.51181102362204722" bottom="0.51181102362204722" header="0.51181102362204722" footer="0.51181102362204722"/>
      <printOptions horizontalCentered="1"/>
      <pageSetup paperSize="9" orientation="portrait" verticalDpi="0" r:id="rId1"/>
      <headerFooter alignWithMargins="0"/>
    </customSheetView>
    <customSheetView guid="{16158AC0-BDC0-11D7-BABA-AD30328A5118}" showPageBreaks="1" showGridLines="0" printArea="1" showRuler="0">
      <selection activeCell="F13" sqref="F13"/>
      <pageMargins left="0.74803149606299213" right="0.74803149606299213" top="0.51181102362204722" bottom="0.51181102362204722" header="0.51181102362204722" footer="0.51181102362204722"/>
      <printOptions horizontalCentered="1"/>
      <pageSetup paperSize="9" orientation="portrait" verticalDpi="0" r:id="rId2"/>
      <headerFooter alignWithMargins="0"/>
    </customSheetView>
  </customSheetViews>
  <phoneticPr fontId="16" type="noConversion"/>
  <conditionalFormatting sqref="E12 E20:E21 C20:D20 C23:E23">
    <cfRule type="cellIs" dxfId="1" priority="48" stopIfTrue="1" operator="notEqual">
      <formula>#REF!</formula>
    </cfRule>
  </conditionalFormatting>
  <conditionalFormatting sqref="C22:E22">
    <cfRule type="cellIs" dxfId="0" priority="1" stopIfTrue="1" operator="notEqual">
      <formula>#REF!</formula>
    </cfRule>
  </conditionalFormatting>
  <printOptions horizontalCentered="1"/>
  <pageMargins left="0.7" right="0.7" top="0.75" bottom="0.75" header="0.3" footer="0.3"/>
  <pageSetup paperSize="9" orientation="portrait" r:id="rId3"/>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S611"/>
  <sheetViews>
    <sheetView showGridLines="0" tabSelected="1" view="pageBreakPreview" zoomScaleNormal="85" zoomScaleSheetLayoutView="100" workbookViewId="0">
      <selection activeCell="B13" sqref="B13"/>
    </sheetView>
  </sheetViews>
  <sheetFormatPr defaultRowHeight="12.75" x14ac:dyDescent="0.2"/>
  <cols>
    <col min="1" max="1" width="3" customWidth="1"/>
    <col min="2" max="2" width="58.7109375" customWidth="1"/>
    <col min="3" max="3" width="8.7109375" customWidth="1"/>
    <col min="4" max="6" width="12.7109375" style="3" customWidth="1"/>
    <col min="7" max="7" width="13.42578125" customWidth="1"/>
    <col min="8" max="9" width="13.42578125" hidden="1" customWidth="1"/>
    <col min="10" max="10" width="15" hidden="1" customWidth="1"/>
    <col min="11" max="11" width="14.7109375" customWidth="1"/>
    <col min="12" max="13" width="13.42578125" customWidth="1"/>
    <col min="14" max="14" width="13.42578125" hidden="1" customWidth="1"/>
    <col min="15" max="17" width="13.42578125" customWidth="1"/>
    <col min="18" max="18" width="9.85546875" bestFit="1" customWidth="1"/>
    <col min="19" max="19" width="13.85546875" bestFit="1" customWidth="1"/>
    <col min="23" max="23" width="9.85546875" bestFit="1" customWidth="1"/>
  </cols>
  <sheetData>
    <row r="1" spans="2:19" s="67" customFormat="1" ht="18" x14ac:dyDescent="0.25">
      <c r="B1" s="270" t="s">
        <v>867</v>
      </c>
      <c r="C1" s="270"/>
      <c r="D1" s="68"/>
      <c r="E1" s="69"/>
      <c r="F1" s="69"/>
      <c r="H1" s="228"/>
      <c r="I1" s="313"/>
      <c r="J1" s="159"/>
      <c r="K1" s="159"/>
      <c r="L1" s="159"/>
      <c r="M1" s="314"/>
      <c r="N1" s="314"/>
      <c r="O1" s="314"/>
      <c r="P1" s="314"/>
      <c r="Q1" s="314"/>
    </row>
    <row r="2" spans="2:19" ht="23.25" x14ac:dyDescent="0.35">
      <c r="B2" s="14" t="s">
        <v>1182</v>
      </c>
      <c r="C2" s="14"/>
      <c r="G2" s="271"/>
      <c r="H2" s="228"/>
      <c r="I2" s="8"/>
      <c r="J2" s="8"/>
      <c r="K2" s="162"/>
      <c r="L2" s="162"/>
      <c r="M2" s="8"/>
      <c r="N2" s="8"/>
      <c r="O2" s="8"/>
      <c r="P2" s="8"/>
      <c r="Q2" s="8"/>
    </row>
    <row r="3" spans="2:19" s="13" customFormat="1" ht="18" customHeight="1" x14ac:dyDescent="0.2">
      <c r="B3" s="439" t="s">
        <v>1300</v>
      </c>
      <c r="C3" s="439"/>
      <c r="D3" s="427"/>
      <c r="E3" s="427"/>
      <c r="F3" s="427"/>
    </row>
    <row r="4" spans="2:19" s="13" customFormat="1" ht="12.75" customHeight="1" x14ac:dyDescent="0.2">
      <c r="B4" s="427"/>
      <c r="C4" s="427"/>
      <c r="D4" s="427"/>
      <c r="E4" s="427"/>
      <c r="F4" s="427"/>
    </row>
    <row r="5" spans="2:19" x14ac:dyDescent="0.2">
      <c r="B5" s="8"/>
      <c r="C5" s="8"/>
      <c r="D5" s="440">
        <v>2018</v>
      </c>
      <c r="E5" s="440">
        <v>2018</v>
      </c>
      <c r="F5" s="440">
        <v>2017</v>
      </c>
    </row>
    <row r="6" spans="2:19" ht="25.5" x14ac:dyDescent="0.2">
      <c r="B6" s="8"/>
      <c r="C6" s="62" t="s">
        <v>381</v>
      </c>
      <c r="D6" s="58" t="s">
        <v>800</v>
      </c>
      <c r="E6" s="47" t="s">
        <v>382</v>
      </c>
      <c r="F6" s="47" t="s">
        <v>800</v>
      </c>
      <c r="N6" s="603"/>
      <c r="O6" s="603"/>
      <c r="P6" s="603"/>
      <c r="Q6" s="603"/>
      <c r="R6" s="603"/>
      <c r="S6" s="603"/>
    </row>
    <row r="7" spans="2:19" x14ac:dyDescent="0.2">
      <c r="B7" s="8"/>
      <c r="C7" s="8"/>
      <c r="D7" s="58" t="s">
        <v>799</v>
      </c>
      <c r="E7" s="47" t="s">
        <v>799</v>
      </c>
      <c r="F7" s="47" t="s">
        <v>799</v>
      </c>
      <c r="N7" s="603"/>
      <c r="O7" s="603"/>
      <c r="P7" s="603"/>
      <c r="Q7" s="603"/>
      <c r="R7" s="603"/>
      <c r="S7" s="603"/>
    </row>
    <row r="8" spans="2:19" x14ac:dyDescent="0.2">
      <c r="B8" s="1" t="s">
        <v>383</v>
      </c>
      <c r="C8" s="71"/>
      <c r="D8" s="162"/>
      <c r="E8" s="272"/>
      <c r="F8" s="29"/>
      <c r="G8" s="110"/>
      <c r="J8" t="s">
        <v>1014</v>
      </c>
      <c r="N8" s="603"/>
      <c r="O8" s="603"/>
      <c r="P8" s="603"/>
      <c r="Q8" s="603"/>
      <c r="R8" s="603"/>
      <c r="S8" s="603"/>
    </row>
    <row r="9" spans="2:19" x14ac:dyDescent="0.2">
      <c r="B9" s="264" t="s">
        <v>319</v>
      </c>
      <c r="C9" s="264"/>
      <c r="D9" s="276">
        <f>'Cashflow workpaper'!C18</f>
        <v>8169950</v>
      </c>
      <c r="E9" s="276">
        <f>'Cashflow workpaper'!D18</f>
        <v>7605746</v>
      </c>
      <c r="F9" s="276">
        <f>'Cashflow workpaper'!E18+1</f>
        <v>7841695</v>
      </c>
      <c r="G9" s="110"/>
      <c r="K9" s="441"/>
      <c r="L9" s="41"/>
      <c r="N9" s="603"/>
      <c r="O9" s="603"/>
      <c r="P9" s="603"/>
      <c r="Q9" s="603"/>
      <c r="R9" s="603"/>
      <c r="S9" s="603"/>
    </row>
    <row r="10" spans="2:19" x14ac:dyDescent="0.2">
      <c r="B10" s="264" t="s">
        <v>384</v>
      </c>
      <c r="C10" s="264"/>
      <c r="D10" s="276">
        <f>+'Cashflow workpaper'!C27</f>
        <v>156903</v>
      </c>
      <c r="E10" s="276">
        <f>+'Cashflow workpaper'!D27</f>
        <v>325779</v>
      </c>
      <c r="F10" s="276">
        <f>+'Cashflow workpaper'!E27-2</f>
        <v>331638</v>
      </c>
      <c r="G10" s="110"/>
      <c r="J10" t="s">
        <v>1014</v>
      </c>
      <c r="K10" s="441"/>
      <c r="L10" s="41"/>
      <c r="N10" s="603"/>
      <c r="O10" s="603"/>
      <c r="P10" s="603"/>
      <c r="Q10" s="603"/>
      <c r="R10" s="603"/>
      <c r="S10" s="603"/>
    </row>
    <row r="11" spans="2:19" ht="12.75" customHeight="1" x14ac:dyDescent="0.2">
      <c r="B11" s="274" t="s">
        <v>19</v>
      </c>
      <c r="C11" s="274"/>
      <c r="D11" s="276">
        <f>'Cashflow workpaper'!C77</f>
        <v>65685</v>
      </c>
      <c r="E11" s="276" t="s">
        <v>818</v>
      </c>
      <c r="F11" s="276">
        <v>5272</v>
      </c>
      <c r="G11" s="110"/>
      <c r="K11" s="441"/>
      <c r="L11" s="41"/>
      <c r="N11" s="603"/>
      <c r="O11" s="603"/>
      <c r="P11" s="603"/>
      <c r="Q11" s="603"/>
      <c r="R11" s="603"/>
      <c r="S11" s="603"/>
    </row>
    <row r="12" spans="2:19" ht="12.75" customHeight="1" x14ac:dyDescent="0.2">
      <c r="B12" s="264" t="s">
        <v>386</v>
      </c>
      <c r="C12" s="25"/>
      <c r="D12" s="608">
        <f>-'Cashflow workpaper'!C85</f>
        <v>-3495965</v>
      </c>
      <c r="E12" s="608">
        <f>-'Cashflow workpaper'!D85</f>
        <v>-4393063</v>
      </c>
      <c r="F12" s="608">
        <f>-'Cashflow workpaper'!E85</f>
        <v>-3219965</v>
      </c>
      <c r="G12" s="110"/>
      <c r="K12" s="441"/>
      <c r="L12" s="41"/>
      <c r="N12" s="603"/>
      <c r="O12" s="603"/>
      <c r="P12" s="603"/>
      <c r="Q12" s="603"/>
      <c r="R12" s="603"/>
      <c r="S12" s="603"/>
    </row>
    <row r="13" spans="2:19" ht="12.75" customHeight="1" x14ac:dyDescent="0.2">
      <c r="B13" s="264" t="s">
        <v>387</v>
      </c>
      <c r="C13" s="25"/>
      <c r="D13" s="608">
        <f>-'Cashflow workpaper'!C75-65685-65685+296</f>
        <v>-3746897</v>
      </c>
      <c r="E13" s="608">
        <f>-'Cashflow workpaper'!D75</f>
        <v>-4340495</v>
      </c>
      <c r="F13" s="608">
        <v>-3064753.4199999957</v>
      </c>
      <c r="G13" s="110"/>
      <c r="K13" s="441"/>
      <c r="L13" s="41"/>
      <c r="N13" s="603"/>
      <c r="O13" s="603"/>
      <c r="P13" s="603"/>
      <c r="Q13" s="603"/>
      <c r="R13" s="603"/>
      <c r="S13" s="603"/>
    </row>
    <row r="14" spans="2:19" ht="12.75" customHeight="1" x14ac:dyDescent="0.2">
      <c r="B14" s="264" t="s">
        <v>388</v>
      </c>
      <c r="C14" s="25"/>
      <c r="D14" s="276">
        <f>'Comprehensive Income'!C21*-1</f>
        <v>-12848</v>
      </c>
      <c r="E14" s="276" t="s">
        <v>818</v>
      </c>
      <c r="F14" s="276">
        <v>-11528</v>
      </c>
      <c r="G14" s="110"/>
      <c r="K14" s="441"/>
      <c r="L14" s="41"/>
      <c r="N14" s="603"/>
      <c r="O14" s="603"/>
      <c r="P14" s="603"/>
      <c r="Q14" s="603"/>
      <c r="R14" s="603"/>
      <c r="S14" s="603"/>
    </row>
    <row r="15" spans="2:19" ht="12.75" customHeight="1" x14ac:dyDescent="0.2">
      <c r="B15" s="25" t="s">
        <v>431</v>
      </c>
      <c r="C15" s="25"/>
      <c r="D15" s="276">
        <f>+'Cashflow workpaper'!C33</f>
        <v>314151</v>
      </c>
      <c r="E15" s="276">
        <f>+'Cashflow workpaper'!D33</f>
        <v>140000</v>
      </c>
      <c r="F15" s="276">
        <v>262824.69</v>
      </c>
      <c r="G15" s="110"/>
      <c r="K15" s="441"/>
      <c r="L15" s="41"/>
      <c r="N15" s="603"/>
      <c r="O15" s="603"/>
      <c r="P15" s="603"/>
      <c r="Q15" s="603"/>
      <c r="R15" s="603"/>
      <c r="S15" s="603"/>
    </row>
    <row r="16" spans="2:19" x14ac:dyDescent="0.2">
      <c r="B16" s="275"/>
      <c r="C16" s="275"/>
      <c r="D16" s="276"/>
      <c r="E16" s="276"/>
      <c r="F16" s="276"/>
      <c r="G16" s="110"/>
      <c r="N16" s="603"/>
      <c r="O16" s="603"/>
      <c r="P16" s="603"/>
      <c r="Q16" s="603"/>
      <c r="R16" s="603"/>
      <c r="S16" s="603"/>
    </row>
    <row r="17" spans="2:19" x14ac:dyDescent="0.2">
      <c r="B17" s="277" t="s">
        <v>389</v>
      </c>
      <c r="C17" s="278"/>
      <c r="D17" s="279">
        <f>SUM(D9:D15)</f>
        <v>1450979</v>
      </c>
      <c r="E17" s="279">
        <f>SUM(E9:E15)</f>
        <v>-662033</v>
      </c>
      <c r="F17" s="279">
        <f>SUM(F9:F15)</f>
        <v>2145183.2700000042</v>
      </c>
      <c r="G17" s="110"/>
      <c r="N17" s="603"/>
      <c r="O17" s="603"/>
      <c r="P17" s="603"/>
      <c r="Q17" s="603"/>
      <c r="R17" s="603"/>
      <c r="S17" s="603"/>
    </row>
    <row r="18" spans="2:19" x14ac:dyDescent="0.2">
      <c r="B18" s="25"/>
      <c r="C18" s="25"/>
      <c r="D18" s="280"/>
      <c r="E18" s="280"/>
      <c r="F18" s="280"/>
      <c r="G18" s="213"/>
      <c r="N18" s="603"/>
      <c r="O18" s="603"/>
      <c r="P18" s="603"/>
      <c r="Q18" s="603"/>
      <c r="R18" s="603"/>
      <c r="S18" s="603"/>
    </row>
    <row r="19" spans="2:19" x14ac:dyDescent="0.2">
      <c r="B19" s="1" t="s">
        <v>2</v>
      </c>
      <c r="C19" s="1"/>
      <c r="D19" s="276"/>
      <c r="E19" s="281"/>
      <c r="F19" s="276"/>
      <c r="G19" s="213"/>
      <c r="N19" s="603"/>
      <c r="O19" s="603"/>
      <c r="P19" s="603"/>
      <c r="Q19" s="603"/>
      <c r="R19" s="603"/>
      <c r="S19" s="603"/>
    </row>
    <row r="20" spans="2:19" ht="12.75" customHeight="1" x14ac:dyDescent="0.2">
      <c r="B20" s="264" t="s">
        <v>3</v>
      </c>
      <c r="C20" s="25"/>
      <c r="D20" s="276">
        <v>0</v>
      </c>
      <c r="E20" s="273">
        <v>0</v>
      </c>
      <c r="F20" s="273">
        <v>0</v>
      </c>
      <c r="H20" s="441"/>
      <c r="I20" s="41"/>
      <c r="N20" s="603"/>
      <c r="O20" s="603"/>
      <c r="P20" s="603"/>
      <c r="Q20" s="603"/>
      <c r="R20" s="603"/>
      <c r="S20" s="603"/>
    </row>
    <row r="21" spans="2:19" x14ac:dyDescent="0.2">
      <c r="B21" s="264" t="s">
        <v>4</v>
      </c>
      <c r="C21" s="25"/>
      <c r="D21" s="276">
        <f>'Cashflow workpaper'!C100+'Cashflow workpaper'!C102+'Cashflow workpaper'!C101</f>
        <v>-474543</v>
      </c>
      <c r="E21" s="276">
        <f>'Cashflow workpaper'!D100+'Cashflow workpaper'!D102+'Cashflow workpaper'!D101</f>
        <v>-3334670</v>
      </c>
      <c r="F21" s="276">
        <v>-542694</v>
      </c>
      <c r="H21" s="441"/>
      <c r="I21" s="41"/>
      <c r="N21" s="603"/>
      <c r="O21" s="603"/>
      <c r="P21" s="603"/>
      <c r="Q21" s="603"/>
      <c r="R21" s="603"/>
      <c r="S21" s="603"/>
    </row>
    <row r="22" spans="2:19" x14ac:dyDescent="0.2">
      <c r="B22" s="274" t="s">
        <v>6</v>
      </c>
      <c r="C22" s="25"/>
      <c r="D22" s="276">
        <f>'Cashflow workpaper'!C103</f>
        <v>3475328</v>
      </c>
      <c r="E22" s="276">
        <f>'Cashflow workpaper'!D103</f>
        <v>2926334</v>
      </c>
      <c r="F22" s="276">
        <v>751397</v>
      </c>
      <c r="H22" s="441"/>
      <c r="I22" s="41"/>
      <c r="N22" s="603"/>
      <c r="O22" s="603"/>
      <c r="P22" s="603"/>
      <c r="Q22" s="603"/>
      <c r="R22" s="603"/>
      <c r="S22" s="603"/>
    </row>
    <row r="23" spans="2:19" x14ac:dyDescent="0.2">
      <c r="B23" s="274" t="s">
        <v>5</v>
      </c>
      <c r="C23" s="25"/>
      <c r="D23" s="276">
        <v>0</v>
      </c>
      <c r="E23" s="273">
        <v>0</v>
      </c>
      <c r="F23" s="276">
        <v>0</v>
      </c>
      <c r="G23" s="110"/>
      <c r="L23" s="41"/>
      <c r="N23" s="603"/>
      <c r="O23" s="603"/>
      <c r="P23" s="603"/>
      <c r="Q23" s="603"/>
      <c r="R23" s="603"/>
      <c r="S23" s="603"/>
    </row>
    <row r="24" spans="2:19" x14ac:dyDescent="0.2">
      <c r="D24" s="162"/>
      <c r="F24" s="162"/>
      <c r="H24" s="441"/>
      <c r="I24" s="41"/>
      <c r="N24" s="603"/>
      <c r="O24" s="603"/>
      <c r="P24" s="603"/>
      <c r="Q24" s="603"/>
      <c r="R24" s="603"/>
      <c r="S24" s="603"/>
    </row>
    <row r="25" spans="2:19" x14ac:dyDescent="0.2">
      <c r="B25" s="282"/>
      <c r="C25" s="282"/>
      <c r="D25" s="283"/>
      <c r="E25" s="284"/>
      <c r="F25" s="283"/>
      <c r="N25" s="603"/>
      <c r="O25" s="603"/>
      <c r="P25" s="603"/>
      <c r="Q25" s="603"/>
      <c r="R25" s="603"/>
      <c r="S25" s="603"/>
    </row>
    <row r="26" spans="2:19" x14ac:dyDescent="0.2">
      <c r="B26" s="25" t="s">
        <v>7</v>
      </c>
      <c r="C26" s="25"/>
      <c r="D26" s="285">
        <f>SUM(D20:D25)</f>
        <v>3000785</v>
      </c>
      <c r="E26" s="285">
        <f>SUM(E20:E25)</f>
        <v>-408336</v>
      </c>
      <c r="F26" s="285">
        <f>SUM(F20:F25)</f>
        <v>208703</v>
      </c>
      <c r="N26" s="603"/>
      <c r="O26" s="603"/>
      <c r="P26" s="603"/>
      <c r="Q26" s="603"/>
      <c r="R26" s="603"/>
      <c r="S26" s="603"/>
    </row>
    <row r="27" spans="2:19" x14ac:dyDescent="0.2">
      <c r="D27" s="80"/>
      <c r="E27" s="286"/>
      <c r="F27" s="80"/>
      <c r="N27" s="603"/>
      <c r="O27" s="603"/>
      <c r="P27" s="603"/>
      <c r="Q27" s="603"/>
      <c r="R27" s="603"/>
      <c r="S27" s="603"/>
    </row>
    <row r="28" spans="2:19" x14ac:dyDescent="0.2">
      <c r="B28" s="1" t="s">
        <v>8</v>
      </c>
      <c r="C28" s="1"/>
      <c r="D28" s="276"/>
      <c r="E28" s="281"/>
      <c r="F28" s="276"/>
      <c r="I28" s="433"/>
      <c r="J28" s="433"/>
      <c r="K28" s="433"/>
      <c r="L28" s="433"/>
      <c r="M28" s="433"/>
      <c r="N28" s="433"/>
    </row>
    <row r="29" spans="2:19" x14ac:dyDescent="0.2">
      <c r="B29" s="287" t="s">
        <v>9</v>
      </c>
      <c r="C29" s="287"/>
      <c r="D29" s="276" t="s">
        <v>818</v>
      </c>
      <c r="E29" s="273" t="s">
        <v>818</v>
      </c>
      <c r="F29" s="276" t="s">
        <v>818</v>
      </c>
      <c r="I29" s="433"/>
      <c r="J29" s="433"/>
      <c r="K29" s="433"/>
      <c r="L29" s="433"/>
      <c r="M29" s="433"/>
      <c r="N29" s="433"/>
    </row>
    <row r="30" spans="2:19" x14ac:dyDescent="0.2">
      <c r="B30" s="25" t="s">
        <v>1236</v>
      </c>
      <c r="C30" s="25"/>
      <c r="D30" s="276" t="s">
        <v>818</v>
      </c>
      <c r="E30" s="273" t="s">
        <v>818</v>
      </c>
      <c r="F30" s="276" t="s">
        <v>818</v>
      </c>
      <c r="G30" s="8"/>
      <c r="H30" s="8"/>
      <c r="I30" s="433"/>
      <c r="J30" s="433"/>
      <c r="K30" s="433"/>
      <c r="L30" s="288"/>
      <c r="M30" s="433"/>
      <c r="N30" s="433"/>
    </row>
    <row r="31" spans="2:19" x14ac:dyDescent="0.2">
      <c r="B31" s="25" t="s">
        <v>11</v>
      </c>
      <c r="C31" s="25"/>
      <c r="D31" s="276" t="s">
        <v>818</v>
      </c>
      <c r="E31" s="273" t="s">
        <v>818</v>
      </c>
      <c r="F31" s="280">
        <v>0</v>
      </c>
      <c r="G31" s="8"/>
      <c r="H31" s="8"/>
      <c r="I31" s="433"/>
      <c r="J31" s="433"/>
      <c r="K31" s="433"/>
      <c r="L31" s="288"/>
      <c r="M31" s="433"/>
      <c r="N31" s="433"/>
    </row>
    <row r="32" spans="2:19" x14ac:dyDescent="0.2">
      <c r="B32" s="264" t="s">
        <v>12</v>
      </c>
      <c r="C32" s="25"/>
      <c r="D32" s="276" t="s">
        <v>818</v>
      </c>
      <c r="E32" s="273" t="s">
        <v>818</v>
      </c>
      <c r="F32" s="280">
        <v>0</v>
      </c>
      <c r="G32" s="8"/>
      <c r="H32" s="8"/>
      <c r="I32" s="433" t="s">
        <v>1014</v>
      </c>
      <c r="J32" s="433"/>
      <c r="K32" s="433"/>
      <c r="L32" s="433"/>
      <c r="M32" s="433"/>
      <c r="N32" s="433"/>
    </row>
    <row r="33" spans="2:14" x14ac:dyDescent="0.2">
      <c r="B33" s="264" t="s">
        <v>10</v>
      </c>
      <c r="C33" s="25"/>
      <c r="D33" s="442">
        <f>'Cashflow workpaper'!C108</f>
        <v>-43811</v>
      </c>
      <c r="E33" s="273">
        <v>-52474</v>
      </c>
      <c r="F33" s="280">
        <v>-31691</v>
      </c>
      <c r="G33" s="8"/>
      <c r="H33" s="8"/>
      <c r="I33" s="433"/>
      <c r="J33" s="433"/>
      <c r="K33" s="433"/>
      <c r="L33" s="433"/>
      <c r="M33" s="433"/>
      <c r="N33" s="433"/>
    </row>
    <row r="34" spans="2:14" x14ac:dyDescent="0.2">
      <c r="B34" s="25" t="s">
        <v>13</v>
      </c>
      <c r="C34" s="25"/>
      <c r="D34" s="289">
        <f>SUM(D29:D33)</f>
        <v>-43811</v>
      </c>
      <c r="E34" s="290">
        <f>SUM(E29:E33)</f>
        <v>-52474</v>
      </c>
      <c r="F34" s="289">
        <f>SUM(F29:F33)</f>
        <v>-31691</v>
      </c>
      <c r="H34" s="213"/>
      <c r="I34" s="291"/>
      <c r="J34" s="291"/>
      <c r="K34" s="433"/>
      <c r="L34" s="433"/>
      <c r="M34" s="433"/>
      <c r="N34" s="433"/>
    </row>
    <row r="35" spans="2:14" x14ac:dyDescent="0.2">
      <c r="B35" s="25"/>
      <c r="C35" s="25"/>
      <c r="D35" s="280"/>
      <c r="E35" s="281"/>
      <c r="F35" s="280"/>
      <c r="I35" s="433"/>
      <c r="J35" s="433"/>
      <c r="K35" s="433"/>
      <c r="L35" s="433"/>
      <c r="M35" s="433"/>
      <c r="N35" s="433"/>
    </row>
    <row r="36" spans="2:14" x14ac:dyDescent="0.2">
      <c r="B36" s="604" t="s">
        <v>14</v>
      </c>
      <c r="C36" s="434"/>
      <c r="D36" s="606">
        <f>D17+D26+D34</f>
        <v>4407953</v>
      </c>
      <c r="E36" s="606">
        <f>E17+E26+E34</f>
        <v>-1122843</v>
      </c>
      <c r="F36" s="606">
        <f>F17+F26+F34</f>
        <v>2322195.2700000042</v>
      </c>
      <c r="G36" s="8"/>
      <c r="H36" s="213"/>
      <c r="I36" s="291"/>
      <c r="J36" s="433"/>
      <c r="K36" s="433"/>
      <c r="L36" s="433"/>
      <c r="M36" s="433"/>
      <c r="N36" s="433"/>
    </row>
    <row r="37" spans="2:14" ht="13.5" thickBot="1" x14ac:dyDescent="0.25">
      <c r="B37" s="605"/>
      <c r="C37" s="435"/>
      <c r="D37" s="607"/>
      <c r="E37" s="607"/>
      <c r="F37" s="607"/>
      <c r="G37" s="348"/>
      <c r="I37" s="433"/>
      <c r="J37" s="433"/>
      <c r="K37" s="433"/>
      <c r="L37" s="433"/>
      <c r="M37" s="433"/>
      <c r="N37" s="433"/>
    </row>
    <row r="38" spans="2:14" ht="13.5" thickTop="1" x14ac:dyDescent="0.2">
      <c r="B38" s="408"/>
      <c r="C38" s="408"/>
      <c r="D38" s="276"/>
      <c r="E38" s="276"/>
      <c r="F38" s="276"/>
      <c r="G38" s="8"/>
      <c r="I38" s="433"/>
      <c r="J38" s="433"/>
      <c r="K38" s="433"/>
      <c r="L38" s="433"/>
      <c r="M38" s="433"/>
      <c r="N38" s="433"/>
    </row>
    <row r="39" spans="2:14" ht="12.75" customHeight="1" x14ac:dyDescent="0.2">
      <c r="B39" s="292"/>
      <c r="C39" s="293"/>
      <c r="D39" s="276"/>
      <c r="E39" s="276"/>
      <c r="F39" s="276"/>
      <c r="H39" s="597" t="s">
        <v>15</v>
      </c>
      <c r="I39" s="598"/>
      <c r="J39" s="599"/>
      <c r="K39" s="433"/>
      <c r="L39" s="433"/>
      <c r="M39" s="433"/>
      <c r="N39" s="433"/>
    </row>
    <row r="40" spans="2:14" x14ac:dyDescent="0.2">
      <c r="B40" s="292" t="s">
        <v>16</v>
      </c>
      <c r="C40" s="294">
        <v>12</v>
      </c>
      <c r="D40" s="280">
        <f>+F43</f>
        <v>2723520</v>
      </c>
      <c r="E40" s="295">
        <f>+F43</f>
        <v>2723520</v>
      </c>
      <c r="F40" s="373">
        <v>601775</v>
      </c>
      <c r="H40" s="600"/>
      <c r="I40" s="601"/>
      <c r="J40" s="602"/>
      <c r="K40" s="433"/>
      <c r="L40" s="433"/>
      <c r="M40" s="433"/>
      <c r="N40" s="433"/>
    </row>
    <row r="41" spans="2:14" x14ac:dyDescent="0.2">
      <c r="B41" s="292"/>
      <c r="C41" s="293"/>
      <c r="D41" s="280"/>
      <c r="E41" s="281"/>
      <c r="F41" s="280"/>
      <c r="G41" s="110"/>
      <c r="H41" s="600"/>
      <c r="I41" s="601"/>
      <c r="J41" s="602"/>
      <c r="L41" s="433"/>
      <c r="M41" s="433"/>
      <c r="N41" s="433"/>
    </row>
    <row r="42" spans="2:14" x14ac:dyDescent="0.2">
      <c r="B42" s="604" t="s">
        <v>17</v>
      </c>
      <c r="C42" s="434"/>
      <c r="D42" s="296"/>
      <c r="E42" s="296"/>
      <c r="F42" s="296"/>
      <c r="G42" s="110"/>
      <c r="H42" s="297"/>
      <c r="I42" s="298"/>
      <c r="J42" s="299"/>
      <c r="K42" s="300"/>
      <c r="L42" s="433"/>
      <c r="M42" s="433"/>
      <c r="N42" s="433"/>
    </row>
    <row r="43" spans="2:14" ht="13.5" thickBot="1" x14ac:dyDescent="0.25">
      <c r="B43" s="604"/>
      <c r="C43" s="301">
        <v>12</v>
      </c>
      <c r="D43" s="302">
        <f>+H43</f>
        <v>7131473</v>
      </c>
      <c r="E43" s="302">
        <f>+I43</f>
        <v>1600677</v>
      </c>
      <c r="F43" s="302">
        <v>2723520</v>
      </c>
      <c r="G43" s="349">
        <f>+D36+D40-D43</f>
        <v>0</v>
      </c>
      <c r="H43" s="303">
        <f>+'Cashflow workpaper'!C119</f>
        <v>7131473</v>
      </c>
      <c r="I43" s="304">
        <f>+'Cashflow workpaper'!D119</f>
        <v>1600677</v>
      </c>
      <c r="J43" s="305">
        <f>+'Cashflow workpaper'!E119</f>
        <v>2723519.94</v>
      </c>
      <c r="L43" s="433"/>
      <c r="M43" s="433"/>
      <c r="N43" s="433"/>
    </row>
    <row r="44" spans="2:14" x14ac:dyDescent="0.2">
      <c r="B44" s="1"/>
      <c r="C44" s="1"/>
      <c r="D44" s="306"/>
      <c r="E44" s="306"/>
      <c r="F44" s="306"/>
      <c r="G44" s="110"/>
      <c r="H44" s="307">
        <f>SUM(D43-H43)</f>
        <v>0</v>
      </c>
      <c r="I44" s="308">
        <f>SUM(E43-I43)</f>
        <v>0</v>
      </c>
      <c r="J44" s="309">
        <f>SUM(F43-J43)</f>
        <v>6.0000000055879354E-2</v>
      </c>
      <c r="L44" s="433"/>
      <c r="M44" s="433"/>
      <c r="N44" s="433"/>
    </row>
    <row r="45" spans="2:14" x14ac:dyDescent="0.2">
      <c r="B45" s="1"/>
      <c r="C45" s="1"/>
      <c r="D45" s="286"/>
      <c r="E45" s="286"/>
      <c r="F45" s="286"/>
      <c r="L45" s="433"/>
      <c r="M45" s="433"/>
      <c r="N45" s="433"/>
    </row>
    <row r="46" spans="2:14" x14ac:dyDescent="0.2">
      <c r="B46" s="1"/>
      <c r="C46" s="1"/>
      <c r="D46" s="286"/>
      <c r="E46" s="286"/>
      <c r="F46" s="286"/>
    </row>
    <row r="47" spans="2:14" ht="12.75" customHeight="1" x14ac:dyDescent="0.2">
      <c r="B47" s="594" t="s">
        <v>1369</v>
      </c>
      <c r="C47" s="595"/>
      <c r="D47" s="595"/>
      <c r="E47" s="595"/>
      <c r="F47" s="595"/>
      <c r="H47" s="596"/>
      <c r="I47" s="596"/>
      <c r="J47" s="596"/>
      <c r="K47" s="596"/>
    </row>
    <row r="48" spans="2:14" x14ac:dyDescent="0.2">
      <c r="B48" s="595" t="s">
        <v>1370</v>
      </c>
      <c r="C48" s="595"/>
      <c r="D48" s="595"/>
      <c r="E48" s="595"/>
      <c r="F48" s="595"/>
      <c r="H48" s="596"/>
      <c r="I48" s="596"/>
      <c r="J48" s="596"/>
      <c r="K48" s="596"/>
      <c r="L48" s="433"/>
      <c r="M48" s="433"/>
      <c r="N48" s="433"/>
    </row>
    <row r="49" spans="2:14" x14ac:dyDescent="0.2">
      <c r="B49" s="595"/>
      <c r="C49" s="595"/>
      <c r="D49" s="595"/>
      <c r="E49" s="595"/>
      <c r="F49" s="595"/>
      <c r="H49" s="596"/>
      <c r="I49" s="596"/>
      <c r="J49" s="596"/>
      <c r="K49" s="596"/>
      <c r="L49" s="433"/>
      <c r="M49" s="433"/>
      <c r="N49" s="433"/>
    </row>
    <row r="50" spans="2:14" x14ac:dyDescent="0.2">
      <c r="B50" s="1"/>
      <c r="C50" s="1"/>
      <c r="H50" s="596"/>
      <c r="I50" s="596"/>
      <c r="J50" s="596"/>
      <c r="K50" s="596"/>
      <c r="L50" s="433"/>
      <c r="M50" s="433"/>
      <c r="N50" s="433"/>
    </row>
    <row r="51" spans="2:14" x14ac:dyDescent="0.2">
      <c r="B51" s="1"/>
      <c r="C51" s="1"/>
      <c r="H51" s="18"/>
      <c r="I51" s="18"/>
      <c r="J51" s="18"/>
      <c r="K51" s="18"/>
      <c r="L51" s="433"/>
      <c r="M51" s="433"/>
      <c r="N51" s="433"/>
    </row>
    <row r="52" spans="2:14" ht="12.75" customHeight="1" x14ac:dyDescent="0.2">
      <c r="B52" s="1"/>
      <c r="C52" s="1"/>
      <c r="H52" s="596"/>
      <c r="I52" s="596"/>
      <c r="J52" s="596"/>
      <c r="K52" s="596"/>
      <c r="L52" s="433"/>
      <c r="M52" s="433"/>
      <c r="N52" s="433"/>
    </row>
    <row r="53" spans="2:14" x14ac:dyDescent="0.2">
      <c r="B53" s="1"/>
      <c r="C53" s="1"/>
      <c r="E53" s="306"/>
      <c r="F53" s="306"/>
      <c r="H53" s="596"/>
      <c r="I53" s="596"/>
      <c r="J53" s="596"/>
      <c r="K53" s="596"/>
      <c r="L53" s="433"/>
      <c r="M53" s="433"/>
      <c r="N53" s="433"/>
    </row>
    <row r="54" spans="2:14" ht="12.75" customHeight="1" x14ac:dyDescent="0.2">
      <c r="H54" s="596"/>
      <c r="I54" s="596"/>
      <c r="J54" s="596"/>
      <c r="K54" s="596"/>
      <c r="L54" s="433"/>
      <c r="M54" s="433"/>
      <c r="N54" s="433"/>
    </row>
    <row r="55" spans="2:14" ht="27.6" customHeight="1" x14ac:dyDescent="0.2">
      <c r="B55" s="310" t="s">
        <v>18</v>
      </c>
      <c r="C55" s="310"/>
      <c r="H55" s="596"/>
      <c r="I55" s="596"/>
      <c r="J55" s="596"/>
      <c r="K55" s="596"/>
      <c r="L55" s="433"/>
      <c r="M55" s="433"/>
      <c r="N55" s="433"/>
    </row>
    <row r="56" spans="2:14" x14ac:dyDescent="0.2">
      <c r="B56" s="311"/>
      <c r="C56" s="311"/>
      <c r="D56" s="311"/>
      <c r="E56" s="311"/>
      <c r="F56" s="311"/>
      <c r="H56" s="18"/>
      <c r="I56" s="315"/>
      <c r="J56" s="315"/>
      <c r="K56" s="315"/>
      <c r="L56" s="433"/>
      <c r="M56" s="433"/>
      <c r="N56" s="433"/>
    </row>
    <row r="57" spans="2:14" s="25" customFormat="1" ht="21" customHeight="1" x14ac:dyDescent="0.2">
      <c r="D57" s="312"/>
      <c r="E57" s="312"/>
      <c r="F57" s="312"/>
      <c r="I57" s="433"/>
      <c r="J57" s="433"/>
      <c r="K57" s="433"/>
      <c r="L57" s="433"/>
      <c r="M57" s="433"/>
      <c r="N57" s="433"/>
    </row>
    <row r="58" spans="2:14" ht="12.75" customHeight="1" x14ac:dyDescent="0.2">
      <c r="B58" s="25"/>
      <c r="C58" s="25"/>
      <c r="D58" s="312"/>
      <c r="E58" s="312"/>
      <c r="F58" s="312"/>
      <c r="G58" s="25"/>
      <c r="H58" s="25"/>
      <c r="I58" s="433"/>
      <c r="J58" s="433"/>
      <c r="K58" s="433"/>
      <c r="L58" s="433"/>
      <c r="M58" s="433"/>
      <c r="N58" s="433"/>
    </row>
    <row r="59" spans="2:14" ht="14.25" x14ac:dyDescent="0.2">
      <c r="B59" s="25"/>
      <c r="C59" s="25"/>
      <c r="D59" s="312"/>
      <c r="E59" s="312"/>
      <c r="F59" s="312"/>
      <c r="G59" s="25"/>
      <c r="H59" s="25"/>
      <c r="I59" s="433"/>
      <c r="J59" s="433"/>
      <c r="K59" s="433"/>
      <c r="L59" s="433"/>
      <c r="M59" s="433"/>
      <c r="N59" s="433"/>
    </row>
    <row r="506" spans="4:10" x14ac:dyDescent="0.2">
      <c r="D506"/>
      <c r="E506"/>
      <c r="F506"/>
      <c r="I506" s="267"/>
      <c r="J506" s="267"/>
    </row>
    <row r="599" spans="4:10" x14ac:dyDescent="0.2">
      <c r="D599"/>
      <c r="E599"/>
      <c r="F599"/>
      <c r="I599" s="110"/>
      <c r="J599" s="110"/>
    </row>
    <row r="600" spans="4:10" x14ac:dyDescent="0.2">
      <c r="D600"/>
      <c r="E600"/>
      <c r="F600"/>
      <c r="I600" s="110"/>
      <c r="J600" s="110"/>
    </row>
    <row r="601" spans="4:10" x14ac:dyDescent="0.2">
      <c r="D601"/>
      <c r="E601"/>
      <c r="F601"/>
      <c r="I601" s="110"/>
      <c r="J601" s="110"/>
    </row>
    <row r="602" spans="4:10" x14ac:dyDescent="0.2">
      <c r="D602"/>
      <c r="E602"/>
      <c r="F602"/>
      <c r="I602" s="110"/>
      <c r="J602" s="110"/>
    </row>
    <row r="603" spans="4:10" x14ac:dyDescent="0.2">
      <c r="D603"/>
      <c r="E603"/>
      <c r="F603"/>
      <c r="I603" s="110"/>
      <c r="J603" s="110"/>
    </row>
    <row r="604" spans="4:10" x14ac:dyDescent="0.2">
      <c r="D604"/>
      <c r="E604"/>
      <c r="F604"/>
      <c r="I604" s="110"/>
      <c r="J604" s="110"/>
    </row>
    <row r="605" spans="4:10" x14ac:dyDescent="0.2">
      <c r="D605"/>
      <c r="E605"/>
      <c r="F605"/>
      <c r="I605" s="110"/>
      <c r="J605" s="110"/>
    </row>
    <row r="606" spans="4:10" x14ac:dyDescent="0.2">
      <c r="D606"/>
      <c r="E606"/>
      <c r="F606"/>
      <c r="I606" s="110"/>
      <c r="J606" s="110"/>
    </row>
    <row r="607" spans="4:10" x14ac:dyDescent="0.2">
      <c r="D607"/>
      <c r="E607"/>
      <c r="F607"/>
      <c r="I607" s="110"/>
      <c r="J607" s="110"/>
    </row>
    <row r="608" spans="4:10" x14ac:dyDescent="0.2">
      <c r="D608"/>
      <c r="E608"/>
      <c r="F608"/>
      <c r="I608" s="110"/>
      <c r="J608" s="110"/>
    </row>
    <row r="609" spans="4:10" x14ac:dyDescent="0.2">
      <c r="D609"/>
      <c r="E609"/>
      <c r="F609"/>
      <c r="I609" s="110"/>
      <c r="J609" s="110"/>
    </row>
    <row r="610" spans="4:10" x14ac:dyDescent="0.2">
      <c r="D610"/>
      <c r="E610"/>
      <c r="F610"/>
      <c r="I610" s="110"/>
      <c r="J610" s="110"/>
    </row>
    <row r="611" spans="4:10" x14ac:dyDescent="0.2">
      <c r="D611"/>
      <c r="E611"/>
      <c r="F611"/>
      <c r="I611" s="110"/>
      <c r="J611" s="110"/>
    </row>
  </sheetData>
  <phoneticPr fontId="0" type="noConversion"/>
  <pageMargins left="1.0236220472440944" right="0" top="0.74803149606299213" bottom="0.74803149606299213" header="0.31496062992125984" footer="0.31496062992125984"/>
  <pageSetup paperSize="9" scale="84" firstPageNumber="5" orientation="portrait" cellComments="asDisplayed"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N353"/>
  <sheetViews>
    <sheetView view="pageBreakPreview" zoomScale="75" zoomScaleNormal="100" zoomScaleSheetLayoutView="75" workbookViewId="0">
      <selection activeCell="A10" sqref="A10:F12"/>
    </sheetView>
  </sheetViews>
  <sheetFormatPr defaultRowHeight="12.75" customHeight="1" x14ac:dyDescent="0.2"/>
  <cols>
    <col min="1" max="1" width="9.140625" style="85"/>
    <col min="2" max="2" width="17.7109375" style="85" customWidth="1"/>
    <col min="3" max="3" width="10.140625" style="85" customWidth="1"/>
    <col min="4" max="4" width="17.28515625" style="85" customWidth="1"/>
    <col min="5" max="5" width="9.140625" style="85"/>
    <col min="6" max="6" width="37.7109375" style="85" customWidth="1"/>
    <col min="7" max="7" width="16.7109375" style="85" customWidth="1"/>
    <col min="8" max="16384" width="9.140625" style="85"/>
  </cols>
  <sheetData>
    <row r="2" spans="1:9" ht="30" customHeight="1" x14ac:dyDescent="0.25">
      <c r="A2" s="67" t="str">
        <f>+Header!A18</f>
        <v>Blind and Low Vision Education Network NZ</v>
      </c>
    </row>
    <row r="3" spans="1:9" ht="33.75" customHeight="1" x14ac:dyDescent="0.35">
      <c r="A3" s="142" t="s">
        <v>1015</v>
      </c>
      <c r="B3" s="140"/>
      <c r="C3" s="140"/>
      <c r="D3" s="140"/>
      <c r="E3" s="140"/>
      <c r="F3" s="140"/>
      <c r="G3" s="140"/>
      <c r="H3" s="140"/>
      <c r="I3" s="140"/>
    </row>
    <row r="4" spans="1:9" ht="18" customHeight="1" x14ac:dyDescent="0.25">
      <c r="A4" s="141"/>
      <c r="B4" s="140"/>
      <c r="C4" s="140"/>
      <c r="D4" s="140"/>
      <c r="E4" s="140"/>
      <c r="F4" s="140"/>
      <c r="G4" s="140"/>
      <c r="H4" s="140"/>
      <c r="I4" s="140"/>
    </row>
    <row r="5" spans="1:9" ht="15.75" customHeight="1" x14ac:dyDescent="0.25">
      <c r="A5" s="116" t="s">
        <v>896</v>
      </c>
      <c r="B5" s="116"/>
      <c r="C5" s="116"/>
      <c r="D5" s="116"/>
      <c r="E5" s="116"/>
      <c r="F5" s="116"/>
      <c r="G5" s="116"/>
      <c r="H5" s="116"/>
      <c r="I5" s="116"/>
    </row>
    <row r="6" spans="1:9" s="415" customFormat="1" ht="15.75" customHeight="1" x14ac:dyDescent="0.25">
      <c r="A6" s="413" t="s">
        <v>1301</v>
      </c>
      <c r="B6" s="414"/>
      <c r="C6" s="414"/>
      <c r="D6" s="414"/>
      <c r="E6" s="414"/>
      <c r="F6" s="414"/>
      <c r="G6" s="414"/>
      <c r="H6" s="414"/>
      <c r="I6" s="414"/>
    </row>
    <row r="7" spans="1:9" s="111" customFormat="1" ht="14.25" customHeight="1" x14ac:dyDescent="0.25">
      <c r="A7" s="114"/>
      <c r="B7" s="126"/>
      <c r="C7" s="126"/>
      <c r="D7" s="126"/>
      <c r="E7" s="126"/>
      <c r="F7" s="126"/>
      <c r="G7" s="126"/>
      <c r="H7" s="126"/>
      <c r="I7" s="126"/>
    </row>
    <row r="8" spans="1:9" ht="15.75" customHeight="1" x14ac:dyDescent="0.25">
      <c r="A8" s="117" t="s">
        <v>312</v>
      </c>
      <c r="B8" s="114"/>
      <c r="C8" s="114"/>
      <c r="D8" s="114"/>
      <c r="E8" s="114"/>
      <c r="F8" s="114"/>
      <c r="G8" s="114"/>
      <c r="H8" s="114"/>
      <c r="I8" s="114"/>
    </row>
    <row r="9" spans="1:9" s="111" customFormat="1" ht="14.25" customHeight="1" x14ac:dyDescent="0.25">
      <c r="A9" s="115"/>
      <c r="B9" s="114"/>
      <c r="C9" s="114"/>
      <c r="D9" s="114"/>
      <c r="E9" s="114"/>
      <c r="F9" s="114"/>
      <c r="G9" s="114"/>
      <c r="H9" s="114"/>
      <c r="I9" s="114"/>
    </row>
    <row r="10" spans="1:9" s="111" customFormat="1" ht="14.25" customHeight="1" x14ac:dyDescent="0.2">
      <c r="A10" s="551" t="str">
        <f>Header!A18&amp;" (the school) is a Crown entity as specified in the Crown Entities Act 2004 and a school as described in the Education Act 1989. The Board of Trustees (the Board) is of the view that the school is a public benefit entity for financial reporting purposes."</f>
        <v>Blind and Low Vision Education Network NZ (the school) is a Crown entity as specified in the Crown Entities Act 2004 and a school as described in the Education Act 1989. The Board of Trustees (the Board) is of the view that the school is a public benefit entity for financial reporting purposes.</v>
      </c>
      <c r="B10" s="551"/>
      <c r="C10" s="551"/>
      <c r="D10" s="551"/>
      <c r="E10" s="551"/>
      <c r="F10" s="551"/>
      <c r="G10" s="150"/>
      <c r="H10" s="150"/>
      <c r="I10" s="150"/>
    </row>
    <row r="11" spans="1:9" s="111" customFormat="1" ht="14.25" customHeight="1" x14ac:dyDescent="0.2">
      <c r="A11" s="551"/>
      <c r="B11" s="551"/>
      <c r="C11" s="551"/>
      <c r="D11" s="551"/>
      <c r="E11" s="551"/>
      <c r="F11" s="551"/>
      <c r="G11" s="150"/>
      <c r="H11" s="150"/>
      <c r="I11" s="150"/>
    </row>
    <row r="12" spans="1:9" s="111" customFormat="1" ht="14.25" customHeight="1" x14ac:dyDescent="0.2">
      <c r="A12" s="551"/>
      <c r="B12" s="551"/>
      <c r="C12" s="551"/>
      <c r="D12" s="551"/>
      <c r="E12" s="551"/>
      <c r="F12" s="551"/>
      <c r="G12" s="150"/>
      <c r="H12" s="150"/>
      <c r="I12" s="150"/>
    </row>
    <row r="13" spans="1:9" s="111" customFormat="1" ht="14.25" customHeight="1" x14ac:dyDescent="0.2">
      <c r="A13" s="150"/>
      <c r="B13" s="150"/>
      <c r="C13" s="150"/>
      <c r="D13" s="150"/>
      <c r="E13" s="150"/>
      <c r="F13" s="150"/>
      <c r="G13" s="150"/>
      <c r="H13" s="150"/>
      <c r="I13" s="150"/>
    </row>
    <row r="14" spans="1:9" ht="15.75" customHeight="1" x14ac:dyDescent="0.25">
      <c r="A14" s="116" t="s">
        <v>311</v>
      </c>
      <c r="B14" s="116"/>
      <c r="C14" s="116"/>
      <c r="D14" s="116"/>
      <c r="E14" s="116"/>
      <c r="F14" s="116"/>
      <c r="G14" s="116"/>
      <c r="H14" s="116"/>
      <c r="I14" s="116"/>
    </row>
    <row r="15" spans="1:9" s="111" customFormat="1" ht="14.25" customHeight="1" x14ac:dyDescent="0.25">
      <c r="A15" s="114"/>
      <c r="B15" s="114"/>
      <c r="C15" s="114"/>
      <c r="D15" s="114"/>
      <c r="E15" s="114"/>
      <c r="F15" s="114"/>
      <c r="G15" s="114"/>
      <c r="H15" s="114"/>
      <c r="I15" s="114"/>
    </row>
    <row r="16" spans="1:9" s="111" customFormat="1" ht="14.25" customHeight="1" x14ac:dyDescent="0.25">
      <c r="A16" s="122" t="s">
        <v>897</v>
      </c>
      <c r="B16" s="114"/>
      <c r="C16" s="114"/>
      <c r="D16" s="114"/>
      <c r="E16" s="114"/>
      <c r="F16" s="114"/>
      <c r="G16" s="114"/>
      <c r="H16" s="114"/>
      <c r="I16" s="114"/>
    </row>
    <row r="17" spans="1:9" s="111" customFormat="1" ht="14.25" customHeight="1" x14ac:dyDescent="0.25">
      <c r="A17" s="114"/>
      <c r="B17" s="114"/>
      <c r="C17" s="114"/>
      <c r="D17" s="114"/>
      <c r="E17" s="114"/>
      <c r="F17" s="114"/>
      <c r="G17" s="114"/>
      <c r="H17" s="114"/>
      <c r="I17" s="114"/>
    </row>
    <row r="18" spans="1:9" s="111" customFormat="1" ht="15" customHeight="1" x14ac:dyDescent="0.25">
      <c r="A18" s="551" t="s">
        <v>1360</v>
      </c>
      <c r="B18" s="551"/>
      <c r="C18" s="551"/>
      <c r="D18" s="551"/>
      <c r="E18" s="551"/>
      <c r="F18" s="551"/>
      <c r="G18" s="114"/>
      <c r="H18" s="114"/>
      <c r="I18" s="114"/>
    </row>
    <row r="19" spans="1:9" s="111" customFormat="1" ht="14.25" customHeight="1" x14ac:dyDescent="0.25">
      <c r="A19" s="551"/>
      <c r="B19" s="551"/>
      <c r="C19" s="551"/>
      <c r="D19" s="551"/>
      <c r="E19" s="551"/>
      <c r="F19" s="551"/>
      <c r="G19" s="114"/>
      <c r="H19" s="114"/>
      <c r="I19" s="114"/>
    </row>
    <row r="20" spans="1:9" s="111" customFormat="1" ht="14.25" customHeight="1" x14ac:dyDescent="0.25">
      <c r="A20" s="317"/>
      <c r="B20" s="317"/>
      <c r="C20" s="317"/>
      <c r="D20" s="317"/>
      <c r="E20" s="317"/>
      <c r="F20" s="317"/>
      <c r="G20" s="114"/>
      <c r="H20" s="114"/>
      <c r="I20" s="114"/>
    </row>
    <row r="21" spans="1:9" s="111" customFormat="1" ht="14.25" customHeight="1" x14ac:dyDescent="0.25">
      <c r="A21" s="122" t="s">
        <v>898</v>
      </c>
      <c r="B21" s="114"/>
      <c r="C21" s="114"/>
      <c r="D21" s="114"/>
      <c r="E21" s="114"/>
      <c r="F21" s="114"/>
      <c r="G21" s="114"/>
      <c r="H21" s="114"/>
      <c r="I21" s="114"/>
    </row>
    <row r="22" spans="1:9" s="111" customFormat="1" ht="14.25" customHeight="1" x14ac:dyDescent="0.25">
      <c r="A22" s="114"/>
      <c r="B22" s="114"/>
      <c r="C22" s="114"/>
      <c r="D22" s="114"/>
      <c r="E22" s="114"/>
      <c r="F22" s="114"/>
      <c r="G22" s="114"/>
      <c r="H22" s="114"/>
      <c r="I22" s="114"/>
    </row>
    <row r="23" spans="1:9" s="111" customFormat="1" ht="15" customHeight="1" x14ac:dyDescent="0.25">
      <c r="A23" s="551" t="s">
        <v>1142</v>
      </c>
      <c r="B23" s="551"/>
      <c r="C23" s="551"/>
      <c r="D23" s="551"/>
      <c r="E23" s="551"/>
      <c r="F23" s="551"/>
      <c r="G23" s="114"/>
      <c r="H23" s="114"/>
      <c r="I23" s="114"/>
    </row>
    <row r="24" spans="1:9" s="111" customFormat="1" ht="15" x14ac:dyDescent="0.25">
      <c r="A24" s="551"/>
      <c r="B24" s="551"/>
      <c r="C24" s="551"/>
      <c r="D24" s="551"/>
      <c r="E24" s="551"/>
      <c r="F24" s="551"/>
      <c r="G24" s="114"/>
      <c r="H24" s="114"/>
      <c r="I24" s="114"/>
    </row>
    <row r="25" spans="1:9" s="111" customFormat="1" ht="14.25" customHeight="1" x14ac:dyDescent="0.25">
      <c r="A25" s="114"/>
      <c r="B25" s="114"/>
      <c r="C25" s="114"/>
      <c r="D25" s="114"/>
      <c r="E25" s="114"/>
      <c r="F25" s="114"/>
      <c r="G25" s="114"/>
      <c r="H25" s="114"/>
      <c r="I25" s="114"/>
    </row>
    <row r="26" spans="1:9" s="111" customFormat="1" ht="15.75" customHeight="1" x14ac:dyDescent="0.25">
      <c r="A26" s="122" t="s">
        <v>310</v>
      </c>
      <c r="B26" s="114"/>
      <c r="C26" s="114"/>
      <c r="D26" s="114"/>
      <c r="E26" s="114"/>
      <c r="F26" s="114"/>
      <c r="G26" s="114"/>
      <c r="H26" s="114"/>
      <c r="I26" s="114"/>
    </row>
    <row r="27" spans="1:9" s="111" customFormat="1" ht="12.75" customHeight="1" x14ac:dyDescent="0.25">
      <c r="A27" s="122"/>
      <c r="B27" s="114"/>
      <c r="C27" s="114"/>
      <c r="D27" s="114"/>
      <c r="E27" s="114"/>
      <c r="F27" s="114"/>
      <c r="G27" s="114"/>
      <c r="H27" s="114"/>
      <c r="I27" s="114"/>
    </row>
    <row r="28" spans="1:9" s="111" customFormat="1" ht="14.25" customHeight="1" x14ac:dyDescent="0.2">
      <c r="A28" s="551" t="s">
        <v>393</v>
      </c>
      <c r="B28" s="551"/>
      <c r="C28" s="551"/>
      <c r="D28" s="551"/>
      <c r="E28" s="551"/>
      <c r="F28" s="551"/>
      <c r="G28" s="113"/>
      <c r="H28" s="113"/>
      <c r="I28" s="113"/>
    </row>
    <row r="29" spans="1:9" s="111" customFormat="1" ht="14.25" customHeight="1" x14ac:dyDescent="0.2">
      <c r="A29" s="551"/>
      <c r="B29" s="551"/>
      <c r="C29" s="551"/>
      <c r="D29" s="551"/>
      <c r="E29" s="551"/>
      <c r="F29" s="551"/>
      <c r="G29" s="113"/>
      <c r="H29" s="113"/>
      <c r="I29" s="113"/>
    </row>
    <row r="30" spans="1:9" s="111" customFormat="1" ht="14.25" customHeight="1" x14ac:dyDescent="0.2">
      <c r="A30" s="551"/>
      <c r="B30" s="551"/>
      <c r="C30" s="551"/>
      <c r="D30" s="551"/>
      <c r="E30" s="551"/>
      <c r="F30" s="551"/>
      <c r="G30" s="113"/>
      <c r="H30" s="113"/>
      <c r="I30" s="113"/>
    </row>
    <row r="31" spans="1:9" s="111" customFormat="1" ht="14.25" customHeight="1" x14ac:dyDescent="0.2">
      <c r="A31" s="551"/>
      <c r="B31" s="551"/>
      <c r="C31" s="551"/>
      <c r="D31" s="551"/>
      <c r="E31" s="551"/>
      <c r="F31" s="551"/>
      <c r="G31" s="113"/>
      <c r="H31" s="113"/>
      <c r="I31" s="113"/>
    </row>
    <row r="32" spans="1:9" s="111" customFormat="1" ht="14.25" customHeight="1" x14ac:dyDescent="0.2">
      <c r="A32" s="551"/>
      <c r="B32" s="551"/>
      <c r="C32" s="551"/>
      <c r="D32" s="551"/>
      <c r="E32" s="551"/>
      <c r="F32" s="551"/>
      <c r="G32" s="113"/>
      <c r="H32" s="113"/>
      <c r="I32" s="113"/>
    </row>
    <row r="33" spans="1:9" s="111" customFormat="1" ht="14.25" x14ac:dyDescent="0.2">
      <c r="A33" s="551"/>
      <c r="B33" s="551"/>
      <c r="C33" s="551"/>
      <c r="D33" s="551"/>
      <c r="E33" s="551"/>
      <c r="F33" s="551"/>
      <c r="G33" s="113"/>
      <c r="H33" s="113"/>
      <c r="I33" s="113"/>
    </row>
    <row r="34" spans="1:9" s="111" customFormat="1" ht="14.25" x14ac:dyDescent="0.2">
      <c r="A34" s="551"/>
      <c r="B34" s="551"/>
      <c r="C34" s="551"/>
      <c r="D34" s="551"/>
      <c r="E34" s="551"/>
      <c r="F34" s="551"/>
      <c r="G34" s="113"/>
      <c r="H34" s="113"/>
      <c r="I34" s="113"/>
    </row>
    <row r="35" spans="1:9" s="111" customFormat="1" ht="14.25" x14ac:dyDescent="0.2">
      <c r="A35" s="551"/>
      <c r="B35" s="551"/>
      <c r="C35" s="551"/>
      <c r="D35" s="551"/>
      <c r="E35" s="551"/>
      <c r="F35" s="551"/>
      <c r="G35" s="113"/>
      <c r="H35" s="113"/>
      <c r="I35" s="113"/>
    </row>
    <row r="36" spans="1:9" s="111" customFormat="1" ht="14.25" customHeight="1" x14ac:dyDescent="0.2">
      <c r="A36" s="2"/>
      <c r="B36" s="2"/>
      <c r="C36" s="2"/>
      <c r="D36" s="2"/>
      <c r="E36" s="2"/>
      <c r="F36" s="2"/>
      <c r="G36" s="113"/>
      <c r="H36" s="113"/>
      <c r="I36" s="113"/>
    </row>
    <row r="37" spans="1:9" ht="15.75" customHeight="1" x14ac:dyDescent="0.25">
      <c r="A37" s="122" t="s">
        <v>20</v>
      </c>
      <c r="B37" s="116"/>
      <c r="C37" s="116"/>
      <c r="D37" s="116"/>
      <c r="E37" s="116"/>
      <c r="F37" s="116"/>
      <c r="G37" s="116"/>
      <c r="H37" s="116"/>
      <c r="I37" s="116"/>
    </row>
    <row r="38" spans="1:9" s="111" customFormat="1" ht="14.25" customHeight="1" x14ac:dyDescent="0.25">
      <c r="A38" s="128"/>
      <c r="B38" s="114"/>
      <c r="C38" s="114"/>
      <c r="D38" s="114"/>
      <c r="E38" s="114"/>
      <c r="F38" s="114"/>
      <c r="G38" s="114"/>
      <c r="H38" s="114"/>
      <c r="I38" s="114"/>
    </row>
    <row r="39" spans="1:9" s="111" customFormat="1" ht="14.25" customHeight="1" x14ac:dyDescent="0.2">
      <c r="A39" s="545" t="s">
        <v>1183</v>
      </c>
      <c r="B39" s="546"/>
      <c r="C39" s="546"/>
      <c r="D39" s="546"/>
      <c r="E39" s="546"/>
      <c r="F39" s="546"/>
      <c r="G39" s="113"/>
      <c r="H39" s="113"/>
      <c r="I39" s="113"/>
    </row>
    <row r="40" spans="1:9" s="111" customFormat="1" ht="14.25" customHeight="1" x14ac:dyDescent="0.2">
      <c r="A40" s="546"/>
      <c r="B40" s="546"/>
      <c r="C40" s="546"/>
      <c r="D40" s="546"/>
      <c r="E40" s="546"/>
      <c r="F40" s="546"/>
      <c r="G40" s="113"/>
      <c r="H40" s="113"/>
      <c r="I40" s="113"/>
    </row>
    <row r="41" spans="1:9" s="111" customFormat="1" ht="14.25" customHeight="1" x14ac:dyDescent="0.2">
      <c r="A41" s="546"/>
      <c r="B41" s="546"/>
      <c r="C41" s="546"/>
      <c r="D41" s="546"/>
      <c r="E41" s="546"/>
      <c r="F41" s="546"/>
      <c r="G41" s="113"/>
      <c r="H41" s="113"/>
      <c r="I41" s="113"/>
    </row>
    <row r="42" spans="1:9" s="111" customFormat="1" ht="14.25" customHeight="1" x14ac:dyDescent="0.2">
      <c r="A42" s="546"/>
      <c r="B42" s="546"/>
      <c r="C42" s="546"/>
      <c r="D42" s="546"/>
      <c r="E42" s="546"/>
      <c r="F42" s="546"/>
      <c r="G42" s="113"/>
      <c r="H42" s="113"/>
      <c r="I42" s="113"/>
    </row>
    <row r="43" spans="1:9" s="111" customFormat="1" ht="14.25" customHeight="1" x14ac:dyDescent="0.2">
      <c r="A43" s="113"/>
      <c r="B43" s="113"/>
      <c r="C43" s="113"/>
      <c r="D43" s="113"/>
      <c r="E43" s="113"/>
      <c r="F43" s="113"/>
      <c r="G43" s="113"/>
      <c r="H43" s="113"/>
      <c r="I43" s="113"/>
    </row>
    <row r="44" spans="1:9" ht="15.75" customHeight="1" x14ac:dyDescent="0.25">
      <c r="A44" s="122" t="s">
        <v>309</v>
      </c>
      <c r="B44" s="116"/>
      <c r="C44" s="116"/>
      <c r="D44" s="116"/>
      <c r="E44" s="116"/>
      <c r="F44" s="116"/>
      <c r="G44" s="116"/>
      <c r="H44" s="116"/>
      <c r="I44" s="116"/>
    </row>
    <row r="45" spans="1:9" s="111" customFormat="1" ht="14.25" customHeight="1" x14ac:dyDescent="0.25">
      <c r="A45" s="122"/>
      <c r="B45" s="114"/>
      <c r="C45" s="114"/>
      <c r="D45" s="114"/>
      <c r="E45" s="114"/>
      <c r="F45" s="114"/>
      <c r="G45" s="114"/>
      <c r="H45" s="114"/>
      <c r="I45" s="114"/>
    </row>
    <row r="46" spans="1:9" s="111" customFormat="1" ht="14.25" customHeight="1" x14ac:dyDescent="0.2">
      <c r="A46" s="545" t="s">
        <v>308</v>
      </c>
      <c r="B46" s="546"/>
      <c r="C46" s="546"/>
      <c r="D46" s="546"/>
      <c r="E46" s="546"/>
      <c r="F46" s="546"/>
      <c r="G46" s="136"/>
      <c r="H46" s="136"/>
      <c r="I46" s="136"/>
    </row>
    <row r="47" spans="1:9" s="111" customFormat="1" ht="14.25" customHeight="1" x14ac:dyDescent="0.2">
      <c r="A47" s="546"/>
      <c r="B47" s="546"/>
      <c r="C47" s="546"/>
      <c r="D47" s="546"/>
      <c r="E47" s="546"/>
      <c r="F47" s="546"/>
      <c r="G47" s="136"/>
      <c r="H47" s="136"/>
      <c r="I47" s="136"/>
    </row>
    <row r="48" spans="1:9" s="111" customFormat="1" ht="14.25" customHeight="1" x14ac:dyDescent="0.2">
      <c r="A48" s="136"/>
      <c r="B48" s="136"/>
      <c r="C48" s="136"/>
      <c r="D48" s="136"/>
      <c r="E48" s="136"/>
      <c r="F48" s="136"/>
      <c r="G48" s="136"/>
      <c r="H48" s="136"/>
      <c r="I48" s="136"/>
    </row>
    <row r="49" spans="1:9" ht="15.75" customHeight="1" x14ac:dyDescent="0.25">
      <c r="A49" s="122" t="s">
        <v>307</v>
      </c>
      <c r="B49" s="116"/>
      <c r="C49" s="116"/>
      <c r="D49" s="116"/>
      <c r="E49" s="116"/>
      <c r="F49" s="116"/>
      <c r="G49" s="116"/>
      <c r="H49" s="116"/>
      <c r="I49" s="116"/>
    </row>
    <row r="50" spans="1:9" s="111" customFormat="1" ht="14.25" customHeight="1" x14ac:dyDescent="0.25">
      <c r="A50" s="122"/>
      <c r="B50" s="114"/>
      <c r="C50" s="114"/>
      <c r="D50" s="114"/>
      <c r="E50" s="114"/>
      <c r="F50" s="114"/>
      <c r="G50" s="114"/>
      <c r="H50" s="114"/>
      <c r="I50" s="114"/>
    </row>
    <row r="51" spans="1:9" s="111" customFormat="1" ht="14.25" x14ac:dyDescent="0.2">
      <c r="A51" s="551" t="s">
        <v>21</v>
      </c>
      <c r="B51" s="551"/>
      <c r="C51" s="551"/>
      <c r="D51" s="551"/>
      <c r="E51" s="551"/>
      <c r="F51" s="551"/>
      <c r="G51" s="138"/>
      <c r="H51" s="138"/>
      <c r="I51" s="138"/>
    </row>
    <row r="52" spans="1:9" s="111" customFormat="1" ht="14.25" customHeight="1" x14ac:dyDescent="0.25">
      <c r="A52" s="127"/>
      <c r="B52" s="126"/>
      <c r="C52" s="126"/>
      <c r="D52" s="126"/>
      <c r="E52" s="126"/>
      <c r="F52" s="126"/>
      <c r="G52" s="126"/>
      <c r="H52" s="126"/>
      <c r="I52" s="126"/>
    </row>
    <row r="53" spans="1:9" ht="15.75" customHeight="1" x14ac:dyDescent="0.25">
      <c r="A53" s="139" t="s">
        <v>306</v>
      </c>
      <c r="B53" s="116"/>
      <c r="C53" s="116"/>
      <c r="D53" s="116"/>
      <c r="E53" s="116"/>
      <c r="F53" s="116"/>
      <c r="G53" s="116"/>
      <c r="H53" s="116"/>
      <c r="I53" s="116"/>
    </row>
    <row r="54" spans="1:9" ht="15.75" customHeight="1" x14ac:dyDescent="0.25">
      <c r="A54" s="139"/>
      <c r="B54" s="116"/>
      <c r="C54" s="116"/>
      <c r="D54" s="116"/>
      <c r="E54" s="116"/>
      <c r="F54" s="116"/>
      <c r="G54" s="116"/>
      <c r="H54" s="116"/>
      <c r="I54" s="116"/>
    </row>
    <row r="55" spans="1:9" s="111" customFormat="1" ht="14.25" customHeight="1" x14ac:dyDescent="0.2">
      <c r="A55" s="551" t="s">
        <v>899</v>
      </c>
      <c r="B55" s="551"/>
      <c r="C55" s="551"/>
      <c r="D55" s="551"/>
      <c r="E55" s="551"/>
      <c r="F55" s="551"/>
      <c r="G55" s="136"/>
      <c r="H55" s="136"/>
      <c r="I55" s="136"/>
    </row>
    <row r="56" spans="1:9" s="111" customFormat="1" ht="14.25" customHeight="1" x14ac:dyDescent="0.25">
      <c r="A56" s="138"/>
      <c r="B56" s="126"/>
      <c r="C56" s="126"/>
      <c r="D56" s="126"/>
      <c r="E56" s="126"/>
      <c r="F56" s="126"/>
      <c r="G56" s="126"/>
      <c r="H56" s="126"/>
      <c r="I56" s="126"/>
    </row>
    <row r="57" spans="1:9" s="111" customFormat="1" ht="14.25" customHeight="1" x14ac:dyDescent="0.25">
      <c r="A57" s="139" t="s">
        <v>900</v>
      </c>
      <c r="B57" s="126"/>
      <c r="C57" s="126"/>
      <c r="D57" s="126"/>
      <c r="E57" s="126"/>
      <c r="F57" s="126"/>
      <c r="G57" s="126"/>
      <c r="H57" s="126"/>
      <c r="I57" s="126"/>
    </row>
    <row r="58" spans="1:9" s="111" customFormat="1" ht="14.25" customHeight="1" x14ac:dyDescent="0.25">
      <c r="A58" s="139"/>
      <c r="B58" s="126"/>
      <c r="C58" s="126"/>
      <c r="D58" s="126"/>
      <c r="E58" s="126"/>
      <c r="F58" s="126"/>
      <c r="G58" s="126"/>
      <c r="H58" s="126"/>
      <c r="I58" s="126"/>
    </row>
    <row r="59" spans="1:9" s="111" customFormat="1" ht="15" customHeight="1" x14ac:dyDescent="0.25">
      <c r="A59" s="551" t="s">
        <v>1184</v>
      </c>
      <c r="B59" s="551"/>
      <c r="C59" s="551"/>
      <c r="D59" s="551"/>
      <c r="E59" s="551"/>
      <c r="F59" s="551"/>
      <c r="G59" s="126"/>
      <c r="H59" s="126"/>
      <c r="I59" s="126"/>
    </row>
    <row r="60" spans="1:9" s="111" customFormat="1" ht="15" x14ac:dyDescent="0.25">
      <c r="A60" s="551"/>
      <c r="B60" s="551"/>
      <c r="C60" s="551"/>
      <c r="D60" s="551"/>
      <c r="E60" s="551"/>
      <c r="F60" s="551"/>
      <c r="G60" s="126"/>
      <c r="H60" s="126"/>
      <c r="I60" s="126"/>
    </row>
    <row r="61" spans="1:9" s="111" customFormat="1" ht="15" x14ac:dyDescent="0.25">
      <c r="A61" s="551"/>
      <c r="B61" s="551"/>
      <c r="C61" s="551"/>
      <c r="D61" s="551"/>
      <c r="E61" s="551"/>
      <c r="F61" s="551"/>
      <c r="G61" s="126"/>
      <c r="H61" s="126"/>
      <c r="I61" s="126"/>
    </row>
    <row r="62" spans="1:9" s="111" customFormat="1" ht="15" x14ac:dyDescent="0.25">
      <c r="A62" s="551"/>
      <c r="B62" s="551"/>
      <c r="C62" s="551"/>
      <c r="D62" s="551"/>
      <c r="E62" s="551"/>
      <c r="F62" s="551"/>
      <c r="G62" s="126"/>
      <c r="H62" s="126"/>
      <c r="I62" s="126"/>
    </row>
    <row r="63" spans="1:9" s="111" customFormat="1" ht="15" x14ac:dyDescent="0.25">
      <c r="A63" s="551"/>
      <c r="B63" s="551"/>
      <c r="C63" s="551"/>
      <c r="D63" s="551"/>
      <c r="E63" s="551"/>
      <c r="F63" s="551"/>
      <c r="G63" s="126"/>
      <c r="H63" s="126"/>
      <c r="I63" s="126"/>
    </row>
    <row r="64" spans="1:9" s="111" customFormat="1" ht="15" x14ac:dyDescent="0.25">
      <c r="A64" s="551"/>
      <c r="B64" s="551"/>
      <c r="C64" s="551"/>
      <c r="D64" s="551"/>
      <c r="E64" s="551"/>
      <c r="F64" s="551"/>
      <c r="G64" s="126"/>
      <c r="H64" s="126"/>
      <c r="I64" s="126"/>
    </row>
    <row r="65" spans="1:9" s="111" customFormat="1" ht="15" x14ac:dyDescent="0.25">
      <c r="A65" s="352"/>
      <c r="B65" s="352"/>
      <c r="C65" s="352"/>
      <c r="D65" s="352"/>
      <c r="E65" s="352"/>
      <c r="F65" s="352"/>
      <c r="G65" s="126"/>
      <c r="H65" s="126"/>
      <c r="I65" s="126"/>
    </row>
    <row r="66" spans="1:9" s="111" customFormat="1" ht="15" x14ac:dyDescent="0.25">
      <c r="A66" s="353" t="s">
        <v>1185</v>
      </c>
      <c r="B66" s="351"/>
      <c r="C66" s="351"/>
      <c r="D66" s="351"/>
      <c r="E66" s="351"/>
      <c r="F66" s="351"/>
      <c r="G66" s="126"/>
      <c r="H66" s="126"/>
      <c r="I66" s="126"/>
    </row>
    <row r="67" spans="1:9" s="111" customFormat="1" ht="15" customHeight="1" x14ac:dyDescent="0.25">
      <c r="A67" s="551" t="s">
        <v>1278</v>
      </c>
      <c r="B67" s="551"/>
      <c r="C67" s="551"/>
      <c r="D67" s="551"/>
      <c r="E67" s="551"/>
      <c r="F67" s="551"/>
      <c r="G67" s="126"/>
      <c r="H67" s="126"/>
      <c r="I67" s="126"/>
    </row>
    <row r="68" spans="1:9" s="111" customFormat="1" ht="15" x14ac:dyDescent="0.25">
      <c r="A68" s="551"/>
      <c r="B68" s="551"/>
      <c r="C68" s="551"/>
      <c r="D68" s="551"/>
      <c r="E68" s="551"/>
      <c r="F68" s="551"/>
      <c r="G68" s="126"/>
      <c r="H68" s="126"/>
      <c r="I68" s="126"/>
    </row>
    <row r="69" spans="1:9" s="111" customFormat="1" ht="15" x14ac:dyDescent="0.25">
      <c r="A69" s="551"/>
      <c r="B69" s="551"/>
      <c r="C69" s="551"/>
      <c r="D69" s="551"/>
      <c r="E69" s="551"/>
      <c r="F69" s="551"/>
      <c r="G69" s="126"/>
      <c r="H69" s="126"/>
      <c r="I69" s="126"/>
    </row>
    <row r="70" spans="1:9" s="111" customFormat="1" ht="15" x14ac:dyDescent="0.25">
      <c r="A70" s="551"/>
      <c r="B70" s="551"/>
      <c r="C70" s="551"/>
      <c r="D70" s="551"/>
      <c r="E70" s="551"/>
      <c r="F70" s="551"/>
      <c r="G70" s="126"/>
      <c r="H70" s="126"/>
      <c r="I70" s="126"/>
    </row>
    <row r="71" spans="1:9" s="111" customFormat="1" ht="15" x14ac:dyDescent="0.25">
      <c r="A71" s="551"/>
      <c r="B71" s="551"/>
      <c r="C71" s="551"/>
      <c r="D71" s="551"/>
      <c r="E71" s="551"/>
      <c r="F71" s="551"/>
      <c r="G71" s="126"/>
      <c r="H71" s="126"/>
      <c r="I71" s="126"/>
    </row>
    <row r="72" spans="1:9" s="111" customFormat="1" ht="15" x14ac:dyDescent="0.25">
      <c r="A72" s="352"/>
      <c r="B72" s="352"/>
      <c r="C72" s="352"/>
      <c r="D72" s="352"/>
      <c r="E72" s="352"/>
      <c r="F72" s="352"/>
      <c r="G72" s="126"/>
      <c r="H72" s="126"/>
      <c r="I72" s="126"/>
    </row>
    <row r="73" spans="1:9" s="111" customFormat="1" ht="15" x14ac:dyDescent="0.25">
      <c r="A73" s="354" t="s">
        <v>1186</v>
      </c>
      <c r="B73" s="351"/>
      <c r="C73" s="351"/>
      <c r="D73" s="351"/>
      <c r="E73" s="351"/>
      <c r="F73" s="351"/>
      <c r="G73" s="126"/>
      <c r="H73" s="126"/>
      <c r="I73" s="126"/>
    </row>
    <row r="74" spans="1:9" s="111" customFormat="1" ht="15" x14ac:dyDescent="0.25">
      <c r="A74" s="551" t="s">
        <v>1187</v>
      </c>
      <c r="B74" s="551"/>
      <c r="C74" s="551"/>
      <c r="D74" s="551"/>
      <c r="E74" s="551"/>
      <c r="F74" s="551"/>
      <c r="G74" s="126"/>
      <c r="H74" s="126"/>
      <c r="I74" s="126"/>
    </row>
    <row r="75" spans="1:9" s="111" customFormat="1" ht="15" x14ac:dyDescent="0.25">
      <c r="A75" s="353"/>
      <c r="B75" s="351"/>
      <c r="C75" s="351"/>
      <c r="D75" s="351"/>
      <c r="E75" s="351"/>
      <c r="F75" s="351"/>
      <c r="G75" s="126"/>
      <c r="H75" s="126"/>
      <c r="I75" s="126"/>
    </row>
    <row r="76" spans="1:9" s="111" customFormat="1" ht="15" x14ac:dyDescent="0.25">
      <c r="A76" s="353" t="s">
        <v>1188</v>
      </c>
      <c r="B76" s="351"/>
      <c r="C76" s="351"/>
      <c r="D76" s="351"/>
      <c r="E76" s="351"/>
      <c r="F76" s="351"/>
      <c r="G76" s="126"/>
      <c r="H76" s="126"/>
      <c r="I76" s="126"/>
    </row>
    <row r="77" spans="1:9" s="111" customFormat="1" ht="15" customHeight="1" x14ac:dyDescent="0.25">
      <c r="A77" s="551" t="s">
        <v>1237</v>
      </c>
      <c r="B77" s="551"/>
      <c r="C77" s="551"/>
      <c r="D77" s="551"/>
      <c r="E77" s="551"/>
      <c r="F77" s="551"/>
      <c r="G77" s="126"/>
      <c r="H77" s="126"/>
      <c r="I77" s="126"/>
    </row>
    <row r="78" spans="1:9" s="111" customFormat="1" ht="15" x14ac:dyDescent="0.25">
      <c r="A78" s="551"/>
      <c r="B78" s="551"/>
      <c r="C78" s="551"/>
      <c r="D78" s="551"/>
      <c r="E78" s="551"/>
      <c r="F78" s="551"/>
      <c r="G78" s="126"/>
      <c r="H78" s="126"/>
      <c r="I78" s="126"/>
    </row>
    <row r="79" spans="1:9" s="111" customFormat="1" ht="15" x14ac:dyDescent="0.25">
      <c r="A79" s="551"/>
      <c r="B79" s="551"/>
      <c r="C79" s="551"/>
      <c r="D79" s="551"/>
      <c r="E79" s="551"/>
      <c r="F79" s="551"/>
      <c r="G79" s="126"/>
      <c r="H79" s="126"/>
      <c r="I79" s="126"/>
    </row>
    <row r="80" spans="1:9" s="111" customFormat="1" ht="15" x14ac:dyDescent="0.25">
      <c r="A80" s="551"/>
      <c r="B80" s="551"/>
      <c r="C80" s="551"/>
      <c r="D80" s="551"/>
      <c r="E80" s="551"/>
      <c r="F80" s="551"/>
      <c r="G80" s="126"/>
      <c r="H80" s="126"/>
      <c r="I80" s="126"/>
    </row>
    <row r="81" spans="1:9" s="111" customFormat="1" ht="15" x14ac:dyDescent="0.25">
      <c r="A81" s="352"/>
      <c r="B81" s="352"/>
      <c r="C81" s="352"/>
      <c r="D81" s="352"/>
      <c r="E81" s="352"/>
      <c r="F81" s="352"/>
      <c r="G81" s="126"/>
      <c r="H81" s="126"/>
      <c r="I81" s="126"/>
    </row>
    <row r="82" spans="1:9" s="111" customFormat="1" ht="15" x14ac:dyDescent="0.25">
      <c r="A82" s="353" t="s">
        <v>1189</v>
      </c>
      <c r="B82" s="351"/>
      <c r="C82" s="351"/>
      <c r="D82" s="351"/>
      <c r="E82" s="351"/>
      <c r="F82" s="351"/>
      <c r="G82" s="126"/>
      <c r="H82" s="126"/>
      <c r="I82" s="126"/>
    </row>
    <row r="83" spans="1:9" s="111" customFormat="1" ht="15" customHeight="1" x14ac:dyDescent="0.25">
      <c r="A83" s="551" t="s">
        <v>1190</v>
      </c>
      <c r="B83" s="551"/>
      <c r="C83" s="551"/>
      <c r="D83" s="551"/>
      <c r="E83" s="551"/>
      <c r="F83" s="551"/>
      <c r="G83" s="126"/>
      <c r="H83" s="126"/>
      <c r="I83" s="126"/>
    </row>
    <row r="84" spans="1:9" s="111" customFormat="1" ht="15" x14ac:dyDescent="0.25">
      <c r="A84" s="551"/>
      <c r="B84" s="551"/>
      <c r="C84" s="551"/>
      <c r="D84" s="551"/>
      <c r="E84" s="551"/>
      <c r="F84" s="551"/>
      <c r="G84" s="126"/>
      <c r="H84" s="126"/>
      <c r="I84" s="126"/>
    </row>
    <row r="85" spans="1:9" s="111" customFormat="1" ht="24" customHeight="1" x14ac:dyDescent="0.25">
      <c r="A85" s="551"/>
      <c r="B85" s="551"/>
      <c r="C85" s="551"/>
      <c r="D85" s="551"/>
      <c r="E85" s="551"/>
      <c r="F85" s="551"/>
      <c r="G85" s="126"/>
      <c r="H85" s="126"/>
      <c r="I85" s="126"/>
    </row>
    <row r="86" spans="1:9" s="111" customFormat="1" ht="15" x14ac:dyDescent="0.25">
      <c r="A86" s="351"/>
      <c r="B86" s="351"/>
      <c r="C86" s="351"/>
      <c r="D86" s="351"/>
      <c r="E86" s="351"/>
      <c r="F86" s="351"/>
      <c r="G86" s="126"/>
      <c r="H86" s="126"/>
      <c r="I86" s="126"/>
    </row>
    <row r="87" spans="1:9" s="111" customFormat="1" ht="14.25" customHeight="1" x14ac:dyDescent="0.25">
      <c r="A87" s="138"/>
      <c r="B87" s="126"/>
      <c r="C87" s="126"/>
      <c r="D87" s="126"/>
      <c r="E87" s="126"/>
      <c r="F87" s="126"/>
      <c r="G87" s="126"/>
      <c r="H87" s="126"/>
      <c r="I87" s="126"/>
    </row>
    <row r="88" spans="1:9" ht="15.75" customHeight="1" x14ac:dyDescent="0.25">
      <c r="A88" s="116" t="s">
        <v>0</v>
      </c>
      <c r="B88" s="116"/>
      <c r="C88" s="116"/>
      <c r="D88" s="116"/>
      <c r="E88" s="116"/>
      <c r="F88" s="116"/>
      <c r="G88" s="116"/>
      <c r="H88" s="116"/>
      <c r="I88" s="116"/>
    </row>
    <row r="89" spans="1:9" s="111" customFormat="1" ht="14.25" customHeight="1" x14ac:dyDescent="0.25">
      <c r="A89" s="114"/>
      <c r="B89" s="126"/>
      <c r="C89" s="126"/>
      <c r="D89" s="126"/>
      <c r="E89" s="126"/>
      <c r="F89" s="126"/>
      <c r="G89" s="126"/>
      <c r="H89" s="126"/>
      <c r="I89" s="126"/>
    </row>
    <row r="90" spans="1:9" ht="15.75" customHeight="1" x14ac:dyDescent="0.25">
      <c r="A90" s="137" t="s">
        <v>901</v>
      </c>
      <c r="B90" s="116"/>
      <c r="C90" s="116"/>
      <c r="D90" s="116"/>
      <c r="E90" s="116"/>
      <c r="F90" s="116"/>
      <c r="G90" s="116"/>
      <c r="H90" s="116"/>
      <c r="I90" s="116"/>
    </row>
    <row r="91" spans="1:9" s="111" customFormat="1" ht="14.25" customHeight="1" x14ac:dyDescent="0.25">
      <c r="A91" s="122"/>
      <c r="B91" s="114"/>
      <c r="C91" s="114"/>
      <c r="D91" s="114"/>
      <c r="E91" s="114"/>
      <c r="F91" s="114"/>
      <c r="G91" s="114"/>
      <c r="H91" s="114"/>
      <c r="I91" s="114"/>
    </row>
    <row r="92" spans="1:9" s="111" customFormat="1" ht="14.25" customHeight="1" x14ac:dyDescent="0.2">
      <c r="A92" s="551" t="s">
        <v>211</v>
      </c>
      <c r="B92" s="551"/>
      <c r="C92" s="551"/>
      <c r="D92" s="551"/>
      <c r="E92" s="551"/>
      <c r="F92" s="551"/>
      <c r="G92" s="113"/>
      <c r="H92" s="113"/>
      <c r="I92" s="113"/>
    </row>
    <row r="93" spans="1:9" s="111" customFormat="1" ht="14.25" x14ac:dyDescent="0.2">
      <c r="A93" s="551"/>
      <c r="B93" s="551"/>
      <c r="C93" s="551"/>
      <c r="D93" s="551"/>
      <c r="E93" s="551"/>
      <c r="F93" s="551"/>
      <c r="G93" s="113"/>
      <c r="H93" s="113"/>
      <c r="I93" s="113"/>
    </row>
    <row r="94" spans="1:9" s="111" customFormat="1" ht="14.25" customHeight="1" x14ac:dyDescent="0.2">
      <c r="A94" s="2"/>
      <c r="B94" s="2"/>
      <c r="C94" s="2"/>
      <c r="D94" s="2"/>
      <c r="E94" s="2"/>
      <c r="F94" s="2"/>
      <c r="G94" s="113"/>
      <c r="H94" s="113"/>
      <c r="I94" s="113"/>
    </row>
    <row r="95" spans="1:9" s="111" customFormat="1" ht="14.25" customHeight="1" x14ac:dyDescent="0.2">
      <c r="A95" s="550" t="s">
        <v>902</v>
      </c>
      <c r="B95" s="550"/>
      <c r="C95" s="550"/>
      <c r="D95" s="550"/>
      <c r="E95" s="550"/>
      <c r="F95" s="550"/>
      <c r="G95" s="136"/>
      <c r="H95" s="136"/>
      <c r="I95" s="136"/>
    </row>
    <row r="96" spans="1:9" s="111" customFormat="1" ht="14.25" x14ac:dyDescent="0.2">
      <c r="A96" s="550"/>
      <c r="B96" s="550"/>
      <c r="C96" s="550"/>
      <c r="D96" s="550"/>
      <c r="E96" s="550"/>
      <c r="F96" s="550"/>
      <c r="G96" s="136"/>
      <c r="H96" s="136"/>
      <c r="I96" s="136"/>
    </row>
    <row r="97" spans="1:9" s="111" customFormat="1" ht="14.25" x14ac:dyDescent="0.2">
      <c r="A97" s="136"/>
      <c r="B97" s="136"/>
      <c r="C97" s="136"/>
      <c r="D97" s="136"/>
      <c r="E97" s="136"/>
      <c r="F97" s="136"/>
      <c r="G97" s="136"/>
      <c r="H97" s="136"/>
      <c r="I97" s="136"/>
    </row>
    <row r="98" spans="1:9" s="111" customFormat="1" ht="14.25" customHeight="1" x14ac:dyDescent="0.2">
      <c r="A98" s="550" t="s">
        <v>212</v>
      </c>
      <c r="B98" s="550"/>
      <c r="C98" s="550"/>
      <c r="D98" s="550"/>
      <c r="E98" s="550"/>
      <c r="F98" s="550"/>
      <c r="G98" s="136"/>
      <c r="H98" s="136"/>
      <c r="I98" s="136"/>
    </row>
    <row r="99" spans="1:9" s="111" customFormat="1" ht="14.25" x14ac:dyDescent="0.2">
      <c r="A99" s="550"/>
      <c r="B99" s="550"/>
      <c r="C99" s="550"/>
      <c r="D99" s="550"/>
      <c r="E99" s="550"/>
      <c r="F99" s="550"/>
      <c r="G99" s="136"/>
      <c r="H99" s="136"/>
      <c r="I99" s="136"/>
    </row>
    <row r="100" spans="1:9" s="111" customFormat="1" ht="14.25" x14ac:dyDescent="0.2">
      <c r="A100" s="550"/>
      <c r="B100" s="550"/>
      <c r="C100" s="550"/>
      <c r="D100" s="550"/>
      <c r="E100" s="550"/>
      <c r="F100" s="550"/>
      <c r="G100" s="136"/>
      <c r="H100" s="136"/>
      <c r="I100" s="136"/>
    </row>
    <row r="101" spans="1:9" s="111" customFormat="1" ht="14.25" customHeight="1" x14ac:dyDescent="0.2">
      <c r="A101" s="136"/>
      <c r="B101" s="136"/>
      <c r="C101" s="136"/>
      <c r="D101" s="136"/>
      <c r="E101" s="136"/>
      <c r="F101" s="136"/>
      <c r="G101" s="136"/>
      <c r="H101" s="136"/>
      <c r="I101" s="136"/>
    </row>
    <row r="102" spans="1:9" s="111" customFormat="1" ht="14.25" customHeight="1" x14ac:dyDescent="0.2">
      <c r="A102" s="551" t="s">
        <v>1279</v>
      </c>
      <c r="B102" s="550"/>
      <c r="C102" s="550"/>
      <c r="D102" s="550"/>
      <c r="E102" s="550"/>
      <c r="F102" s="550"/>
      <c r="G102" s="136"/>
      <c r="H102" s="136"/>
      <c r="I102" s="136"/>
    </row>
    <row r="103" spans="1:9" s="111" customFormat="1" ht="14.25" x14ac:dyDescent="0.2">
      <c r="A103" s="550"/>
      <c r="B103" s="550"/>
      <c r="C103" s="550"/>
      <c r="D103" s="550"/>
      <c r="E103" s="550"/>
      <c r="F103" s="550"/>
      <c r="G103" s="136"/>
      <c r="H103" s="136"/>
      <c r="I103" s="136"/>
    </row>
    <row r="104" spans="1:9" s="111" customFormat="1" ht="14.25" x14ac:dyDescent="0.2">
      <c r="A104" s="550"/>
      <c r="B104" s="550"/>
      <c r="C104" s="550"/>
      <c r="D104" s="550"/>
      <c r="E104" s="550"/>
      <c r="F104" s="550"/>
      <c r="G104" s="136"/>
      <c r="H104" s="136"/>
      <c r="I104" s="136"/>
    </row>
    <row r="105" spans="1:9" s="111" customFormat="1" ht="8.25" customHeight="1" x14ac:dyDescent="0.2">
      <c r="A105" s="550"/>
      <c r="B105" s="550"/>
      <c r="C105" s="550"/>
      <c r="D105" s="550"/>
      <c r="E105" s="550"/>
      <c r="F105" s="550"/>
      <c r="G105" s="136"/>
      <c r="H105" s="136"/>
      <c r="I105" s="136"/>
    </row>
    <row r="106" spans="1:9" s="111" customFormat="1" ht="14.25" customHeight="1" x14ac:dyDescent="0.2">
      <c r="A106" s="136"/>
      <c r="B106" s="136"/>
      <c r="C106" s="136"/>
      <c r="D106" s="136"/>
      <c r="E106" s="136"/>
      <c r="F106" s="136"/>
      <c r="G106" s="136"/>
      <c r="H106" s="136"/>
      <c r="I106" s="136"/>
    </row>
    <row r="107" spans="1:9" s="111" customFormat="1" ht="14.25" customHeight="1" x14ac:dyDescent="0.2">
      <c r="A107" s="137" t="s">
        <v>426</v>
      </c>
      <c r="B107" s="136"/>
      <c r="C107" s="136"/>
      <c r="D107" s="136"/>
      <c r="E107" s="136"/>
      <c r="F107" s="136"/>
      <c r="G107" s="136"/>
      <c r="H107" s="136"/>
      <c r="I107" s="136"/>
    </row>
    <row r="108" spans="1:9" s="111" customFormat="1" ht="14.25" customHeight="1" x14ac:dyDescent="0.2">
      <c r="A108" s="136"/>
      <c r="B108" s="136"/>
      <c r="C108" s="136"/>
      <c r="D108" s="136"/>
      <c r="E108" s="136"/>
      <c r="F108" s="136"/>
      <c r="G108" s="136"/>
      <c r="H108" s="136"/>
      <c r="I108" s="136"/>
    </row>
    <row r="109" spans="1:9" s="111" customFormat="1" ht="14.25" customHeight="1" x14ac:dyDescent="0.2">
      <c r="A109" s="550" t="s">
        <v>903</v>
      </c>
      <c r="B109" s="550"/>
      <c r="C109" s="550"/>
      <c r="D109" s="550"/>
      <c r="E109" s="550"/>
      <c r="F109" s="550"/>
      <c r="G109" s="136"/>
      <c r="H109" s="136"/>
      <c r="I109" s="136"/>
    </row>
    <row r="110" spans="1:9" s="111" customFormat="1" ht="14.25" x14ac:dyDescent="0.2">
      <c r="A110" s="550"/>
      <c r="B110" s="550"/>
      <c r="C110" s="550"/>
      <c r="D110" s="550"/>
      <c r="E110" s="550"/>
      <c r="F110" s="550"/>
      <c r="G110" s="136"/>
      <c r="H110" s="136"/>
      <c r="I110" s="136"/>
    </row>
    <row r="111" spans="1:9" s="111" customFormat="1" ht="14.25" x14ac:dyDescent="0.2">
      <c r="A111" s="550"/>
      <c r="B111" s="550"/>
      <c r="C111" s="550"/>
      <c r="D111" s="550"/>
      <c r="E111" s="550"/>
      <c r="F111" s="550"/>
      <c r="G111" s="136"/>
      <c r="H111" s="136"/>
      <c r="I111" s="136"/>
    </row>
    <row r="112" spans="1:9" s="111" customFormat="1" ht="14.25" x14ac:dyDescent="0.2">
      <c r="A112" s="136"/>
      <c r="B112" s="136"/>
      <c r="C112" s="136"/>
      <c r="D112" s="136"/>
      <c r="E112" s="136"/>
      <c r="F112" s="136"/>
      <c r="G112" s="136"/>
      <c r="H112" s="136"/>
      <c r="I112" s="136"/>
    </row>
    <row r="113" spans="1:9" ht="15.75" customHeight="1" x14ac:dyDescent="0.25">
      <c r="A113" s="137" t="s">
        <v>1280</v>
      </c>
      <c r="B113" s="116"/>
      <c r="C113" s="116"/>
      <c r="D113" s="116"/>
      <c r="E113" s="116"/>
      <c r="F113" s="116"/>
      <c r="G113" s="116"/>
      <c r="H113" s="116"/>
      <c r="I113" s="116"/>
    </row>
    <row r="114" spans="1:9" s="111" customFormat="1" ht="14.25" customHeight="1" x14ac:dyDescent="0.25">
      <c r="A114" s="122"/>
      <c r="B114" s="114"/>
      <c r="C114" s="114"/>
      <c r="D114" s="114"/>
      <c r="E114" s="114"/>
      <c r="F114" s="114"/>
      <c r="G114" s="114"/>
      <c r="H114" s="114"/>
      <c r="I114" s="114"/>
    </row>
    <row r="115" spans="1:9" s="111" customFormat="1" ht="14.25" customHeight="1" x14ac:dyDescent="0.2">
      <c r="A115" s="545" t="s">
        <v>394</v>
      </c>
      <c r="B115" s="546"/>
      <c r="C115" s="546"/>
      <c r="D115" s="546"/>
      <c r="E115" s="546"/>
      <c r="F115" s="546"/>
      <c r="G115" s="136"/>
      <c r="H115" s="136"/>
      <c r="I115" s="136"/>
    </row>
    <row r="116" spans="1:9" s="111" customFormat="1" ht="14.25" customHeight="1" x14ac:dyDescent="0.2">
      <c r="A116" s="546"/>
      <c r="B116" s="546"/>
      <c r="C116" s="546"/>
      <c r="D116" s="546"/>
      <c r="E116" s="546"/>
      <c r="F116" s="546"/>
      <c r="G116" s="136"/>
      <c r="H116" s="136"/>
      <c r="I116" s="136"/>
    </row>
    <row r="117" spans="1:9" s="111" customFormat="1" ht="14.25" customHeight="1" x14ac:dyDescent="0.2">
      <c r="A117" s="136"/>
      <c r="B117" s="136"/>
      <c r="C117" s="136"/>
      <c r="D117" s="136"/>
      <c r="E117" s="136"/>
      <c r="F117" s="136"/>
      <c r="G117" s="136"/>
      <c r="H117" s="136"/>
      <c r="I117" s="136"/>
    </row>
    <row r="118" spans="1:9" ht="15.75" customHeight="1" x14ac:dyDescent="0.25">
      <c r="A118" s="137" t="s">
        <v>1</v>
      </c>
      <c r="B118" s="116"/>
      <c r="C118" s="116"/>
      <c r="D118" s="116"/>
      <c r="E118" s="116"/>
      <c r="F118" s="116"/>
      <c r="G118" s="116"/>
      <c r="H118" s="116"/>
      <c r="I118" s="116"/>
    </row>
    <row r="119" spans="1:9" s="111" customFormat="1" ht="14.25" customHeight="1" x14ac:dyDescent="0.25">
      <c r="A119" s="122"/>
      <c r="B119" s="114"/>
      <c r="C119" s="114"/>
      <c r="D119" s="114"/>
      <c r="E119" s="114"/>
      <c r="F119" s="114"/>
      <c r="G119" s="114"/>
      <c r="H119" s="114"/>
      <c r="I119" s="114"/>
    </row>
    <row r="120" spans="1:9" s="111" customFormat="1" ht="14.25" customHeight="1" x14ac:dyDescent="0.2">
      <c r="A120" s="545" t="s">
        <v>904</v>
      </c>
      <c r="B120" s="546"/>
      <c r="C120" s="546"/>
      <c r="D120" s="546"/>
      <c r="E120" s="546"/>
      <c r="F120" s="546"/>
      <c r="G120" s="151"/>
      <c r="H120" s="151"/>
      <c r="I120" s="151"/>
    </row>
    <row r="121" spans="1:9" s="111" customFormat="1" ht="14.25" customHeight="1" x14ac:dyDescent="0.2">
      <c r="A121" s="546"/>
      <c r="B121" s="546"/>
      <c r="C121" s="546"/>
      <c r="D121" s="546"/>
      <c r="E121" s="546"/>
      <c r="F121" s="546"/>
      <c r="G121" s="151"/>
      <c r="H121" s="151"/>
      <c r="I121" s="151"/>
    </row>
    <row r="122" spans="1:9" s="111" customFormat="1" ht="14.25" customHeight="1" x14ac:dyDescent="0.2">
      <c r="A122" s="136"/>
      <c r="B122" s="136"/>
      <c r="C122" s="136"/>
      <c r="D122" s="136"/>
      <c r="E122" s="136"/>
      <c r="F122" s="136"/>
      <c r="G122" s="136"/>
      <c r="H122" s="136"/>
      <c r="I122" s="136"/>
    </row>
    <row r="123" spans="1:9" ht="15.75" customHeight="1" x14ac:dyDescent="0.25">
      <c r="A123" s="116" t="s">
        <v>328</v>
      </c>
      <c r="B123" s="116"/>
      <c r="C123" s="116"/>
      <c r="D123" s="116"/>
      <c r="E123" s="116"/>
      <c r="F123" s="116"/>
      <c r="G123" s="116"/>
      <c r="H123" s="116"/>
      <c r="I123" s="116"/>
    </row>
    <row r="124" spans="1:9" s="111" customFormat="1" ht="14.25" customHeight="1" x14ac:dyDescent="0.25">
      <c r="A124" s="114"/>
      <c r="B124" s="114"/>
      <c r="C124" s="114"/>
      <c r="D124" s="114"/>
      <c r="E124" s="114"/>
      <c r="F124" s="114"/>
      <c r="G124" s="114"/>
      <c r="H124" s="114"/>
      <c r="I124" s="114"/>
    </row>
    <row r="125" spans="1:9" s="111" customFormat="1" ht="14.25" customHeight="1" x14ac:dyDescent="0.2">
      <c r="A125" s="551" t="s">
        <v>395</v>
      </c>
      <c r="B125" s="551"/>
      <c r="C125" s="551"/>
      <c r="D125" s="551"/>
      <c r="E125" s="551"/>
      <c r="F125" s="551"/>
      <c r="G125" s="136"/>
      <c r="H125" s="136"/>
      <c r="I125" s="136"/>
    </row>
    <row r="126" spans="1:9" s="111" customFormat="1" ht="14.25" customHeight="1" x14ac:dyDescent="0.2">
      <c r="A126" s="551"/>
      <c r="B126" s="551"/>
      <c r="C126" s="551"/>
      <c r="D126" s="551"/>
      <c r="E126" s="551"/>
      <c r="F126" s="551"/>
      <c r="G126" s="136"/>
      <c r="H126" s="136"/>
      <c r="I126" s="136"/>
    </row>
    <row r="127" spans="1:9" s="111" customFormat="1" ht="14.25" customHeight="1" x14ac:dyDescent="0.2">
      <c r="A127" s="551"/>
      <c r="B127" s="551"/>
      <c r="C127" s="551"/>
      <c r="D127" s="551"/>
      <c r="E127" s="551"/>
      <c r="F127" s="551"/>
      <c r="G127" s="136"/>
      <c r="H127" s="136"/>
      <c r="I127" s="136"/>
    </row>
    <row r="128" spans="1:9" s="111" customFormat="1" ht="14.25" customHeight="1" x14ac:dyDescent="0.2">
      <c r="A128" s="551"/>
      <c r="B128" s="551"/>
      <c r="C128" s="551"/>
      <c r="D128" s="551"/>
      <c r="E128" s="551"/>
      <c r="F128" s="551"/>
      <c r="G128" s="136"/>
      <c r="H128" s="136"/>
      <c r="I128" s="136"/>
    </row>
    <row r="129" spans="1:9" s="111" customFormat="1" ht="14.25" customHeight="1" x14ac:dyDescent="0.25">
      <c r="A129" s="551"/>
      <c r="B129" s="551"/>
      <c r="C129" s="551"/>
      <c r="D129" s="551"/>
      <c r="E129" s="551"/>
      <c r="F129" s="551"/>
      <c r="G129" s="112"/>
      <c r="H129" s="112"/>
      <c r="I129" s="112"/>
    </row>
    <row r="130" spans="1:9" s="111" customFormat="1" ht="14.25" customHeight="1" x14ac:dyDescent="0.25">
      <c r="A130" s="2"/>
      <c r="B130" s="2"/>
      <c r="C130" s="2"/>
      <c r="D130" s="2"/>
      <c r="E130" s="2"/>
      <c r="F130" s="2"/>
      <c r="G130" s="112"/>
      <c r="H130" s="112"/>
      <c r="I130" s="112"/>
    </row>
    <row r="131" spans="1:9" ht="15.75" customHeight="1" x14ac:dyDescent="0.25">
      <c r="A131" s="116" t="s">
        <v>327</v>
      </c>
      <c r="B131" s="116"/>
      <c r="C131" s="116"/>
      <c r="D131" s="116"/>
      <c r="E131" s="116"/>
      <c r="F131" s="116"/>
      <c r="G131" s="116"/>
      <c r="H131" s="116"/>
      <c r="I131" s="116"/>
    </row>
    <row r="132" spans="1:9" s="111" customFormat="1" ht="14.25" customHeight="1" x14ac:dyDescent="0.25">
      <c r="A132" s="114"/>
      <c r="B132" s="114"/>
      <c r="C132" s="114"/>
      <c r="D132" s="114"/>
      <c r="E132" s="114"/>
      <c r="F132" s="114"/>
      <c r="G132" s="114"/>
      <c r="H132" s="114"/>
      <c r="I132" s="114"/>
    </row>
    <row r="133" spans="1:9" s="111" customFormat="1" ht="14.25" customHeight="1" x14ac:dyDescent="0.2">
      <c r="A133" s="545" t="s">
        <v>661</v>
      </c>
      <c r="B133" s="546"/>
      <c r="C133" s="546"/>
      <c r="D133" s="546"/>
      <c r="E133" s="546"/>
      <c r="F133" s="546"/>
      <c r="G133" s="136"/>
      <c r="H133" s="136"/>
      <c r="I133" s="136"/>
    </row>
    <row r="134" spans="1:9" s="111" customFormat="1" ht="14.25" customHeight="1" x14ac:dyDescent="0.2">
      <c r="A134" s="546"/>
      <c r="B134" s="546"/>
      <c r="C134" s="546"/>
      <c r="D134" s="546"/>
      <c r="E134" s="546"/>
      <c r="F134" s="546"/>
      <c r="G134" s="136"/>
      <c r="H134" s="136"/>
      <c r="I134" s="136"/>
    </row>
    <row r="135" spans="1:9" s="111" customFormat="1" ht="14.25" customHeight="1" x14ac:dyDescent="0.25">
      <c r="A135" s="127"/>
      <c r="B135" s="126"/>
      <c r="C135" s="126"/>
      <c r="D135" s="126"/>
      <c r="E135" s="126"/>
      <c r="F135" s="126"/>
      <c r="G135" s="126"/>
      <c r="H135" s="126"/>
      <c r="I135" s="126"/>
    </row>
    <row r="136" spans="1:9" ht="15.75" customHeight="1" x14ac:dyDescent="0.25">
      <c r="A136" s="116" t="s">
        <v>326</v>
      </c>
      <c r="B136" s="116"/>
      <c r="C136" s="116"/>
      <c r="D136" s="116"/>
      <c r="E136" s="116"/>
      <c r="F136" s="116"/>
      <c r="G136" s="116"/>
      <c r="H136" s="116"/>
      <c r="I136" s="116"/>
    </row>
    <row r="137" spans="1:9" s="111" customFormat="1" ht="14.25" customHeight="1" x14ac:dyDescent="0.25">
      <c r="A137" s="114"/>
      <c r="B137" s="114"/>
      <c r="C137" s="114"/>
      <c r="D137" s="114"/>
      <c r="E137" s="114"/>
      <c r="F137" s="114"/>
      <c r="G137" s="114"/>
      <c r="H137" s="114"/>
      <c r="I137" s="114"/>
    </row>
    <row r="138" spans="1:9" s="111" customFormat="1" ht="14.25" customHeight="1" x14ac:dyDescent="0.2">
      <c r="A138" s="551" t="s">
        <v>325</v>
      </c>
      <c r="B138" s="551"/>
      <c r="C138" s="551"/>
      <c r="D138" s="551"/>
      <c r="E138" s="551"/>
      <c r="F138" s="551"/>
      <c r="G138" s="113"/>
      <c r="H138" s="113"/>
      <c r="I138" s="113"/>
    </row>
    <row r="139" spans="1:9" s="111" customFormat="1" ht="14.25" customHeight="1" x14ac:dyDescent="0.2">
      <c r="A139" s="551"/>
      <c r="B139" s="551"/>
      <c r="C139" s="551"/>
      <c r="D139" s="551"/>
      <c r="E139" s="551"/>
      <c r="F139" s="551"/>
      <c r="G139" s="113"/>
      <c r="H139" s="113"/>
      <c r="I139" s="113"/>
    </row>
    <row r="140" spans="1:9" s="111" customFormat="1" ht="14.25" customHeight="1" x14ac:dyDescent="0.2">
      <c r="A140" s="2"/>
      <c r="B140" s="2"/>
      <c r="C140" s="2"/>
      <c r="D140" s="2"/>
      <c r="E140" s="2"/>
      <c r="F140" s="2"/>
      <c r="G140" s="113"/>
      <c r="H140" s="113"/>
      <c r="I140" s="113"/>
    </row>
    <row r="141" spans="1:9" ht="15.75" customHeight="1" x14ac:dyDescent="0.25">
      <c r="A141" s="116" t="s">
        <v>324</v>
      </c>
      <c r="B141" s="116"/>
      <c r="C141" s="116"/>
      <c r="D141" s="116"/>
      <c r="E141" s="116"/>
      <c r="F141" s="116"/>
      <c r="G141" s="116"/>
      <c r="H141" s="116"/>
      <c r="I141" s="116"/>
    </row>
    <row r="142" spans="1:9" s="111" customFormat="1" ht="14.25" customHeight="1" x14ac:dyDescent="0.25">
      <c r="A142" s="114"/>
      <c r="B142" s="114"/>
      <c r="C142" s="114"/>
      <c r="D142" s="114"/>
      <c r="E142" s="114"/>
      <c r="F142" s="114"/>
      <c r="G142" s="114"/>
      <c r="H142" s="114"/>
      <c r="I142" s="114"/>
    </row>
    <row r="143" spans="1:9" s="111" customFormat="1" ht="14.25" customHeight="1" x14ac:dyDescent="0.25">
      <c r="A143" s="551" t="s">
        <v>1191</v>
      </c>
      <c r="B143" s="551"/>
      <c r="C143" s="551"/>
      <c r="D143" s="551"/>
      <c r="E143" s="551"/>
      <c r="F143" s="551"/>
      <c r="G143" s="112"/>
      <c r="H143" s="112"/>
      <c r="I143" s="112"/>
    </row>
    <row r="144" spans="1:9" s="111" customFormat="1" ht="14.25" customHeight="1" x14ac:dyDescent="0.25">
      <c r="A144" s="551"/>
      <c r="B144" s="551"/>
      <c r="C144" s="551"/>
      <c r="D144" s="551"/>
      <c r="E144" s="551"/>
      <c r="F144" s="551"/>
      <c r="G144" s="112"/>
      <c r="H144" s="112"/>
      <c r="I144" s="112"/>
    </row>
    <row r="145" spans="1:9" s="111" customFormat="1" ht="14.25" customHeight="1" x14ac:dyDescent="0.25">
      <c r="A145" s="551"/>
      <c r="B145" s="551"/>
      <c r="C145" s="551"/>
      <c r="D145" s="551"/>
      <c r="E145" s="551"/>
      <c r="F145" s="551"/>
      <c r="G145" s="112"/>
      <c r="H145" s="112"/>
      <c r="I145" s="112"/>
    </row>
    <row r="146" spans="1:9" s="111" customFormat="1" ht="14.25" customHeight="1" x14ac:dyDescent="0.25">
      <c r="A146" s="112"/>
      <c r="B146" s="112"/>
      <c r="C146" s="112"/>
      <c r="D146" s="112"/>
      <c r="E146" s="112"/>
      <c r="F146" s="112"/>
      <c r="G146" s="112"/>
      <c r="H146" s="112"/>
      <c r="I146" s="112"/>
    </row>
    <row r="147" spans="1:9" ht="15.75" customHeight="1" x14ac:dyDescent="0.25">
      <c r="A147" s="116" t="s">
        <v>323</v>
      </c>
      <c r="B147" s="116"/>
      <c r="C147" s="116"/>
      <c r="D147" s="116"/>
      <c r="E147" s="116"/>
      <c r="F147" s="116"/>
      <c r="G147" s="116"/>
      <c r="H147" s="116"/>
      <c r="I147" s="116"/>
    </row>
    <row r="148" spans="1:9" s="111" customFormat="1" ht="14.25" customHeight="1" x14ac:dyDescent="0.25">
      <c r="A148" s="114"/>
      <c r="B148" s="114"/>
      <c r="C148" s="114"/>
      <c r="D148" s="114"/>
      <c r="E148" s="114"/>
      <c r="F148" s="114"/>
      <c r="G148" s="114"/>
      <c r="H148" s="114"/>
      <c r="I148" s="114"/>
    </row>
    <row r="149" spans="1:9" s="111" customFormat="1" ht="14.25" customHeight="1" x14ac:dyDescent="0.2">
      <c r="A149" s="551" t="s">
        <v>1192</v>
      </c>
      <c r="B149" s="551"/>
      <c r="C149" s="551"/>
      <c r="D149" s="551"/>
      <c r="E149" s="551"/>
      <c r="F149" s="551"/>
      <c r="G149" s="118"/>
      <c r="H149" s="118"/>
      <c r="I149" s="118"/>
    </row>
    <row r="150" spans="1:9" s="111" customFormat="1" ht="14.25" customHeight="1" x14ac:dyDescent="0.2">
      <c r="A150" s="551"/>
      <c r="B150" s="551"/>
      <c r="C150" s="551"/>
      <c r="D150" s="551"/>
      <c r="E150" s="551"/>
      <c r="F150" s="551"/>
      <c r="G150" s="118"/>
      <c r="H150" s="118"/>
      <c r="I150" s="118"/>
    </row>
    <row r="151" spans="1:9" s="111" customFormat="1" ht="65.25" customHeight="1" x14ac:dyDescent="0.2">
      <c r="A151" s="551"/>
      <c r="B151" s="551"/>
      <c r="C151" s="551"/>
      <c r="D151" s="551"/>
      <c r="E151" s="551"/>
      <c r="F151" s="551"/>
      <c r="G151" s="118"/>
      <c r="H151" s="118"/>
      <c r="I151" s="118"/>
    </row>
    <row r="152" spans="1:9" s="111" customFormat="1" ht="14.25" customHeight="1" x14ac:dyDescent="0.25">
      <c r="A152" s="6"/>
      <c r="B152" s="6"/>
      <c r="C152" s="6"/>
      <c r="D152" s="6"/>
      <c r="E152" s="6"/>
      <c r="F152" s="6"/>
      <c r="G152" s="130"/>
      <c r="H152" s="130"/>
      <c r="I152" s="130"/>
    </row>
    <row r="153" spans="1:9" ht="15.75" customHeight="1" x14ac:dyDescent="0.25">
      <c r="A153" s="116" t="s">
        <v>322</v>
      </c>
      <c r="B153" s="116"/>
      <c r="C153" s="116"/>
      <c r="D153" s="116"/>
      <c r="E153" s="116"/>
      <c r="F153" s="116"/>
      <c r="G153" s="116"/>
      <c r="H153" s="116"/>
      <c r="I153" s="116"/>
    </row>
    <row r="154" spans="1:9" s="111" customFormat="1" ht="14.25" customHeight="1" x14ac:dyDescent="0.25">
      <c r="A154" s="114"/>
      <c r="B154" s="114"/>
      <c r="C154" s="114"/>
      <c r="D154" s="114"/>
      <c r="E154" s="114"/>
      <c r="F154" s="114"/>
      <c r="G154" s="114"/>
      <c r="H154" s="114"/>
      <c r="I154" s="114"/>
    </row>
    <row r="155" spans="1:9" s="111" customFormat="1" ht="14.25" customHeight="1" x14ac:dyDescent="0.25">
      <c r="A155" s="545" t="s">
        <v>213</v>
      </c>
      <c r="B155" s="546"/>
      <c r="C155" s="546"/>
      <c r="D155" s="546"/>
      <c r="E155" s="546"/>
      <c r="F155" s="546"/>
      <c r="G155" s="112"/>
      <c r="H155" s="112"/>
      <c r="I155" s="112"/>
    </row>
    <row r="156" spans="1:9" s="111" customFormat="1" ht="14.25" customHeight="1" x14ac:dyDescent="0.25">
      <c r="A156" s="546"/>
      <c r="B156" s="546"/>
      <c r="C156" s="546"/>
      <c r="D156" s="546"/>
      <c r="E156" s="546"/>
      <c r="F156" s="546"/>
      <c r="G156" s="112"/>
      <c r="H156" s="112"/>
      <c r="I156" s="112"/>
    </row>
    <row r="157" spans="1:9" s="111" customFormat="1" ht="14.25" customHeight="1" x14ac:dyDescent="0.25">
      <c r="A157" s="546"/>
      <c r="B157" s="546"/>
      <c r="C157" s="546"/>
      <c r="D157" s="546"/>
      <c r="E157" s="546"/>
      <c r="F157" s="546"/>
      <c r="G157" s="112"/>
      <c r="H157" s="112"/>
      <c r="I157" s="112"/>
    </row>
    <row r="158" spans="1:9" s="111" customFormat="1" ht="14.25" customHeight="1" x14ac:dyDescent="0.25">
      <c r="A158" s="546"/>
      <c r="B158" s="546"/>
      <c r="C158" s="546"/>
      <c r="D158" s="546"/>
      <c r="E158" s="546"/>
      <c r="F158" s="546"/>
      <c r="G158" s="112"/>
      <c r="H158" s="112"/>
      <c r="I158" s="112"/>
    </row>
    <row r="159" spans="1:9" s="111" customFormat="1" ht="14.25" customHeight="1" x14ac:dyDescent="0.2">
      <c r="A159" s="546"/>
      <c r="B159" s="546"/>
      <c r="C159" s="546"/>
      <c r="D159" s="546"/>
      <c r="E159" s="546"/>
      <c r="F159" s="546"/>
      <c r="G159" s="118"/>
      <c r="H159" s="118"/>
      <c r="I159" s="118"/>
    </row>
    <row r="160" spans="1:9" s="111" customFormat="1" ht="14.25" customHeight="1" x14ac:dyDescent="0.25">
      <c r="A160" s="546"/>
      <c r="B160" s="546"/>
      <c r="C160" s="546"/>
      <c r="D160" s="546"/>
      <c r="E160" s="546"/>
      <c r="F160" s="546"/>
      <c r="G160" s="112"/>
      <c r="H160" s="112"/>
      <c r="I160" s="112"/>
    </row>
    <row r="161" spans="1:9" s="111" customFormat="1" ht="14.25" customHeight="1" x14ac:dyDescent="0.25">
      <c r="A161" s="2"/>
      <c r="B161" s="2"/>
      <c r="C161" s="2"/>
      <c r="D161" s="2"/>
      <c r="E161" s="2"/>
      <c r="F161" s="2"/>
      <c r="G161" s="112"/>
      <c r="H161" s="112"/>
      <c r="I161" s="112"/>
    </row>
    <row r="162" spans="1:9" ht="15.75" customHeight="1" x14ac:dyDescent="0.25">
      <c r="A162" s="116" t="s">
        <v>321</v>
      </c>
      <c r="B162" s="116"/>
      <c r="C162" s="116"/>
      <c r="D162" s="116"/>
      <c r="E162" s="116"/>
      <c r="F162" s="116"/>
      <c r="G162" s="116"/>
      <c r="H162" s="116"/>
      <c r="I162" s="116"/>
    </row>
    <row r="163" spans="1:9" s="111" customFormat="1" ht="14.25" customHeight="1" x14ac:dyDescent="0.25">
      <c r="A163" s="114"/>
      <c r="B163" s="114"/>
      <c r="C163" s="114"/>
      <c r="D163" s="114"/>
      <c r="E163" s="114"/>
      <c r="F163" s="114"/>
      <c r="G163" s="114"/>
      <c r="H163" s="114"/>
      <c r="I163" s="114"/>
    </row>
    <row r="164" spans="1:9" s="111" customFormat="1" ht="14.25" customHeight="1" x14ac:dyDescent="0.25">
      <c r="A164" s="545" t="s">
        <v>1193</v>
      </c>
      <c r="B164" s="546"/>
      <c r="C164" s="546"/>
      <c r="D164" s="546"/>
      <c r="E164" s="546"/>
      <c r="F164" s="546"/>
      <c r="G164" s="112"/>
      <c r="H164" s="112"/>
      <c r="I164" s="112"/>
    </row>
    <row r="165" spans="1:9" s="111" customFormat="1" ht="14.25" customHeight="1" x14ac:dyDescent="0.25">
      <c r="A165" s="546"/>
      <c r="B165" s="546"/>
      <c r="C165" s="546"/>
      <c r="D165" s="546"/>
      <c r="E165" s="546"/>
      <c r="F165" s="546"/>
      <c r="G165" s="112"/>
      <c r="H165" s="112"/>
      <c r="I165" s="112"/>
    </row>
    <row r="166" spans="1:9" s="111" customFormat="1" ht="14.25" customHeight="1" x14ac:dyDescent="0.25">
      <c r="A166" s="546"/>
      <c r="B166" s="546"/>
      <c r="C166" s="546"/>
      <c r="D166" s="546"/>
      <c r="E166" s="546"/>
      <c r="F166" s="546"/>
      <c r="G166" s="112"/>
      <c r="H166" s="112"/>
      <c r="I166" s="112"/>
    </row>
    <row r="167" spans="1:9" s="111" customFormat="1" ht="14.25" customHeight="1" x14ac:dyDescent="0.25">
      <c r="A167" s="112"/>
      <c r="B167" s="112"/>
      <c r="C167" s="112"/>
      <c r="D167" s="112"/>
      <c r="E167" s="112"/>
      <c r="F167" s="112"/>
      <c r="G167" s="112"/>
      <c r="H167" s="112"/>
      <c r="I167" s="112"/>
    </row>
    <row r="168" spans="1:9" s="111" customFormat="1" ht="14.25" customHeight="1" x14ac:dyDescent="0.25">
      <c r="A168" s="545" t="s">
        <v>1194</v>
      </c>
      <c r="B168" s="546"/>
      <c r="C168" s="546"/>
      <c r="D168" s="546"/>
      <c r="E168" s="546"/>
      <c r="F168" s="546"/>
      <c r="G168" s="112"/>
      <c r="H168" s="112"/>
      <c r="I168" s="112"/>
    </row>
    <row r="169" spans="1:9" s="111" customFormat="1" ht="72" customHeight="1" x14ac:dyDescent="0.25">
      <c r="A169" s="546"/>
      <c r="B169" s="546"/>
      <c r="C169" s="546"/>
      <c r="D169" s="546"/>
      <c r="E169" s="546"/>
      <c r="F169" s="546"/>
      <c r="G169" s="112"/>
      <c r="H169" s="112"/>
      <c r="I169" s="112"/>
    </row>
    <row r="170" spans="1:9" s="111" customFormat="1" ht="14.25" customHeight="1" x14ac:dyDescent="0.25">
      <c r="A170" s="2"/>
      <c r="B170" s="2"/>
      <c r="C170" s="2"/>
      <c r="D170" s="2"/>
      <c r="E170" s="2"/>
      <c r="F170" s="2"/>
      <c r="G170" s="112"/>
      <c r="H170" s="112"/>
      <c r="I170" s="112"/>
    </row>
    <row r="171" spans="1:9" s="111" customFormat="1" ht="14.25" customHeight="1" x14ac:dyDescent="0.25">
      <c r="A171" s="562" t="s">
        <v>1195</v>
      </c>
      <c r="B171" s="563"/>
      <c r="C171" s="563"/>
      <c r="D171" s="563"/>
      <c r="E171" s="563"/>
      <c r="F171" s="563"/>
      <c r="G171" s="112"/>
      <c r="H171" s="112"/>
      <c r="I171" s="112"/>
    </row>
    <row r="172" spans="1:9" s="111" customFormat="1" ht="14.25" customHeight="1" x14ac:dyDescent="0.25">
      <c r="A172" s="563"/>
      <c r="B172" s="563"/>
      <c r="C172" s="563"/>
      <c r="D172" s="563"/>
      <c r="E172" s="563"/>
      <c r="F172" s="563"/>
      <c r="G172" s="112"/>
      <c r="H172" s="112"/>
      <c r="I172" s="112"/>
    </row>
    <row r="173" spans="1:9" s="111" customFormat="1" ht="14.25" customHeight="1" x14ac:dyDescent="0.25">
      <c r="A173" s="112"/>
      <c r="B173" s="112"/>
      <c r="C173" s="112"/>
      <c r="D173" s="112"/>
      <c r="E173" s="112"/>
      <c r="F173" s="112"/>
      <c r="G173" s="112"/>
      <c r="H173" s="112"/>
      <c r="I173" s="112"/>
    </row>
    <row r="174" spans="1:9" s="111" customFormat="1" ht="14.25" customHeight="1" x14ac:dyDescent="0.25">
      <c r="A174" s="551" t="s">
        <v>1196</v>
      </c>
      <c r="B174" s="551"/>
      <c r="C174" s="551"/>
      <c r="D174" s="551"/>
      <c r="E174" s="551"/>
      <c r="F174" s="551"/>
      <c r="G174" s="112"/>
      <c r="H174" s="112"/>
      <c r="I174" s="112"/>
    </row>
    <row r="175" spans="1:9" s="111" customFormat="1" ht="14.25" customHeight="1" x14ac:dyDescent="0.25">
      <c r="A175" s="551"/>
      <c r="B175" s="551"/>
      <c r="C175" s="551"/>
      <c r="D175" s="551"/>
      <c r="E175" s="551"/>
      <c r="F175" s="551"/>
      <c r="G175" s="112"/>
      <c r="H175" s="112"/>
      <c r="I175" s="112"/>
    </row>
    <row r="176" spans="1:9" s="111" customFormat="1" ht="14.25" customHeight="1" x14ac:dyDescent="0.2">
      <c r="A176" s="2"/>
      <c r="B176" s="2"/>
      <c r="C176" s="2"/>
      <c r="D176" s="2"/>
      <c r="E176" s="2"/>
      <c r="F176" s="2"/>
      <c r="G176" s="2"/>
      <c r="H176" s="2"/>
      <c r="I176" s="2"/>
    </row>
    <row r="177" spans="1:10" s="111" customFormat="1" ht="14.25" customHeight="1" x14ac:dyDescent="0.25">
      <c r="A177" s="545" t="s">
        <v>396</v>
      </c>
      <c r="B177" s="546"/>
      <c r="C177" s="546"/>
      <c r="D177" s="546"/>
      <c r="E177" s="546"/>
      <c r="F177" s="546"/>
      <c r="G177" s="112"/>
      <c r="H177" s="112"/>
      <c r="I177" s="112"/>
    </row>
    <row r="178" spans="1:10" s="111" customFormat="1" ht="14.25" customHeight="1" x14ac:dyDescent="0.25">
      <c r="A178" s="546"/>
      <c r="B178" s="546"/>
      <c r="C178" s="546"/>
      <c r="D178" s="546"/>
      <c r="E178" s="546"/>
      <c r="F178" s="546"/>
      <c r="G178" s="112"/>
      <c r="H178" s="112"/>
      <c r="I178" s="112"/>
    </row>
    <row r="179" spans="1:10" s="111" customFormat="1" ht="14.25" customHeight="1" x14ac:dyDescent="0.25">
      <c r="A179" s="127"/>
      <c r="B179" s="126"/>
      <c r="C179" s="126"/>
      <c r="D179" s="126"/>
      <c r="E179" s="126"/>
      <c r="F179" s="126"/>
      <c r="G179" s="126"/>
      <c r="H179" s="126"/>
      <c r="I179" s="126"/>
    </row>
    <row r="180" spans="1:10" ht="15.75" customHeight="1" x14ac:dyDescent="0.25">
      <c r="A180" s="116" t="s">
        <v>313</v>
      </c>
      <c r="B180" s="116"/>
      <c r="C180" s="116"/>
      <c r="D180" s="116"/>
      <c r="E180" s="116"/>
      <c r="F180" s="116"/>
      <c r="G180" s="116"/>
      <c r="H180" s="116"/>
      <c r="I180" s="116"/>
    </row>
    <row r="181" spans="1:10" s="111" customFormat="1" ht="14.25" customHeight="1" x14ac:dyDescent="0.25">
      <c r="A181" s="114"/>
      <c r="B181" s="114"/>
      <c r="C181" s="114"/>
      <c r="D181" s="114"/>
      <c r="E181" s="114"/>
      <c r="F181" s="114"/>
      <c r="G181" s="114"/>
      <c r="H181" s="114"/>
      <c r="I181" s="114"/>
    </row>
    <row r="182" spans="1:10" s="111" customFormat="1" ht="14.25" customHeight="1" x14ac:dyDescent="0.25">
      <c r="A182" s="559" t="s">
        <v>320</v>
      </c>
      <c r="B182" s="546"/>
      <c r="C182" s="546"/>
      <c r="D182" s="546"/>
      <c r="E182" s="546"/>
      <c r="F182" s="546"/>
      <c r="G182" s="112"/>
      <c r="H182" s="112"/>
      <c r="I182" s="112"/>
    </row>
    <row r="183" spans="1:10" s="111" customFormat="1" ht="15" x14ac:dyDescent="0.25">
      <c r="A183" s="546"/>
      <c r="B183" s="546"/>
      <c r="C183" s="546"/>
      <c r="D183" s="546"/>
      <c r="E183" s="546"/>
      <c r="F183" s="546"/>
      <c r="G183" s="112"/>
      <c r="H183" s="112"/>
      <c r="I183" s="112"/>
    </row>
    <row r="184" spans="1:10" s="111" customFormat="1" ht="14.25" customHeight="1" x14ac:dyDescent="0.25">
      <c r="A184" s="112"/>
      <c r="B184" s="112"/>
      <c r="C184" s="112"/>
      <c r="D184" s="112"/>
      <c r="E184" s="112"/>
      <c r="F184" s="112"/>
      <c r="G184" s="112"/>
      <c r="H184" s="112"/>
      <c r="I184" s="112"/>
    </row>
    <row r="185" spans="1:10" s="111" customFormat="1" ht="14.25" customHeight="1" x14ac:dyDescent="0.25">
      <c r="A185" s="559" t="s">
        <v>1034</v>
      </c>
      <c r="B185" s="546"/>
      <c r="C185" s="546"/>
      <c r="D185" s="546"/>
      <c r="E185" s="546"/>
      <c r="F185" s="546"/>
      <c r="G185" s="112"/>
      <c r="H185" s="112"/>
      <c r="I185" s="112"/>
    </row>
    <row r="186" spans="1:10" s="111" customFormat="1" ht="14.25" customHeight="1" x14ac:dyDescent="0.25">
      <c r="A186" s="546"/>
      <c r="B186" s="546"/>
      <c r="C186" s="546"/>
      <c r="D186" s="546"/>
      <c r="E186" s="546"/>
      <c r="F186" s="546"/>
      <c r="G186" s="112"/>
      <c r="H186" s="112"/>
      <c r="I186" s="112"/>
      <c r="J186" s="111" t="s">
        <v>314</v>
      </c>
    </row>
    <row r="187" spans="1:10" s="111" customFormat="1" ht="14.25" customHeight="1" x14ac:dyDescent="0.25">
      <c r="A187" s="112"/>
      <c r="B187" s="112"/>
      <c r="C187" s="112"/>
      <c r="D187" s="112"/>
      <c r="E187" s="112"/>
      <c r="F187" s="112"/>
      <c r="G187" s="112"/>
      <c r="H187" s="112"/>
      <c r="I187" s="112"/>
    </row>
    <row r="188" spans="1:10" s="111" customFormat="1" ht="14.25" customHeight="1" x14ac:dyDescent="0.2">
      <c r="A188" s="560" t="s">
        <v>315</v>
      </c>
      <c r="B188" s="560"/>
      <c r="C188" s="560"/>
      <c r="D188" s="560"/>
      <c r="E188" s="560"/>
      <c r="F188" s="560"/>
      <c r="G188" s="113"/>
      <c r="H188" s="113"/>
      <c r="I188" s="113"/>
    </row>
    <row r="189" spans="1:10" s="111" customFormat="1" ht="14.25" customHeight="1" x14ac:dyDescent="0.2">
      <c r="A189" s="560"/>
      <c r="B189" s="560"/>
      <c r="C189" s="560"/>
      <c r="D189" s="560"/>
      <c r="E189" s="560"/>
      <c r="F189" s="560"/>
      <c r="G189" s="113"/>
      <c r="H189" s="113"/>
      <c r="I189" s="113"/>
    </row>
    <row r="190" spans="1:10" s="111" customFormat="1" ht="14.25" customHeight="1" x14ac:dyDescent="0.2">
      <c r="A190" s="560"/>
      <c r="B190" s="560"/>
      <c r="C190" s="560"/>
      <c r="D190" s="560"/>
      <c r="E190" s="560"/>
      <c r="F190" s="560"/>
      <c r="G190" s="113"/>
      <c r="H190" s="113"/>
      <c r="I190" s="113"/>
    </row>
    <row r="191" spans="1:10" s="111" customFormat="1" ht="14.25" customHeight="1" x14ac:dyDescent="0.2">
      <c r="A191" s="560"/>
      <c r="B191" s="560"/>
      <c r="C191" s="560"/>
      <c r="D191" s="560"/>
      <c r="E191" s="560"/>
      <c r="F191" s="560"/>
      <c r="G191" s="113"/>
      <c r="H191" s="113"/>
      <c r="I191" s="113"/>
    </row>
    <row r="192" spans="1:10" s="111" customFormat="1" ht="14.25" customHeight="1" x14ac:dyDescent="0.2">
      <c r="A192" s="113"/>
      <c r="B192" s="113"/>
      <c r="C192" s="113"/>
      <c r="D192" s="113"/>
      <c r="E192" s="113"/>
      <c r="F192" s="113"/>
      <c r="G192" s="113"/>
      <c r="H192" s="113"/>
      <c r="I192" s="113"/>
    </row>
    <row r="193" spans="1:10" s="111" customFormat="1" ht="14.25" customHeight="1" x14ac:dyDescent="0.25">
      <c r="A193" s="559" t="s">
        <v>1197</v>
      </c>
      <c r="B193" s="546"/>
      <c r="C193" s="546"/>
      <c r="D193" s="546"/>
      <c r="E193" s="546"/>
      <c r="F193" s="546"/>
      <c r="G193" s="112"/>
      <c r="H193" s="112"/>
      <c r="I193" s="112"/>
      <c r="J193" s="126" t="s">
        <v>316</v>
      </c>
    </row>
    <row r="194" spans="1:10" s="111" customFormat="1" ht="14.25" customHeight="1" x14ac:dyDescent="0.25">
      <c r="A194" s="546"/>
      <c r="B194" s="546"/>
      <c r="C194" s="546"/>
      <c r="D194" s="546"/>
      <c r="E194" s="546"/>
      <c r="F194" s="546"/>
      <c r="G194" s="112"/>
      <c r="H194" s="112"/>
      <c r="I194" s="112"/>
      <c r="J194" s="126"/>
    </row>
    <row r="195" spans="1:10" s="111" customFormat="1" ht="14.25" customHeight="1" x14ac:dyDescent="0.25">
      <c r="A195" s="112"/>
      <c r="B195" s="112"/>
      <c r="C195" s="112"/>
      <c r="D195" s="112"/>
      <c r="E195" s="112"/>
      <c r="F195" s="112"/>
      <c r="G195" s="112"/>
      <c r="H195" s="112"/>
      <c r="I195" s="112"/>
      <c r="J195" s="126"/>
    </row>
    <row r="196" spans="1:10" s="111" customFormat="1" ht="14.25" customHeight="1" x14ac:dyDescent="0.25">
      <c r="A196" s="551" t="s">
        <v>214</v>
      </c>
      <c r="B196" s="551"/>
      <c r="C196" s="551"/>
      <c r="D196" s="551"/>
      <c r="E196" s="551"/>
      <c r="F196" s="551"/>
      <c r="G196" s="118"/>
      <c r="H196" s="118"/>
      <c r="I196" s="118"/>
      <c r="J196" s="126"/>
    </row>
    <row r="197" spans="1:10" s="111" customFormat="1" ht="14.25" customHeight="1" x14ac:dyDescent="0.25">
      <c r="A197" s="551"/>
      <c r="B197" s="551"/>
      <c r="C197" s="551"/>
      <c r="D197" s="551"/>
      <c r="E197" s="551"/>
      <c r="F197" s="551"/>
      <c r="G197" s="118"/>
      <c r="H197" s="118"/>
      <c r="I197" s="118"/>
      <c r="J197" s="126"/>
    </row>
    <row r="198" spans="1:10" s="111" customFormat="1" ht="14.25" customHeight="1" x14ac:dyDescent="0.25">
      <c r="A198" s="551"/>
      <c r="B198" s="551"/>
      <c r="C198" s="551"/>
      <c r="D198" s="551"/>
      <c r="E198" s="551"/>
      <c r="F198" s="551"/>
      <c r="G198" s="118"/>
      <c r="H198" s="118"/>
      <c r="I198" s="118"/>
      <c r="J198" s="126"/>
    </row>
    <row r="199" spans="1:10" s="111" customFormat="1" ht="14.25" customHeight="1" x14ac:dyDescent="0.25">
      <c r="A199" s="2"/>
      <c r="B199" s="2"/>
      <c r="C199" s="2"/>
      <c r="D199" s="2"/>
      <c r="E199" s="2"/>
      <c r="F199" s="2"/>
      <c r="G199" s="112"/>
      <c r="H199" s="112"/>
      <c r="I199" s="112"/>
      <c r="J199" s="126"/>
    </row>
    <row r="200" spans="1:10" ht="15.75" customHeight="1" x14ac:dyDescent="0.25">
      <c r="A200" s="116" t="s">
        <v>836</v>
      </c>
      <c r="B200" s="116"/>
      <c r="C200" s="116"/>
      <c r="D200" s="116"/>
      <c r="E200" s="116"/>
      <c r="F200" s="116"/>
      <c r="G200" s="116"/>
      <c r="H200" s="116"/>
      <c r="I200" s="116"/>
      <c r="J200" s="116"/>
    </row>
    <row r="201" spans="1:10" s="111" customFormat="1" ht="14.25" customHeight="1" x14ac:dyDescent="0.25">
      <c r="A201" s="114"/>
      <c r="B201" s="114"/>
      <c r="C201" s="114"/>
      <c r="D201" s="114"/>
      <c r="E201" s="114"/>
      <c r="F201" s="114"/>
      <c r="G201" s="114"/>
      <c r="H201" s="114"/>
      <c r="I201" s="114"/>
      <c r="J201" s="114"/>
    </row>
    <row r="202" spans="1:10" s="111" customFormat="1" ht="14.25" customHeight="1" x14ac:dyDescent="0.25">
      <c r="A202" s="560" t="s">
        <v>398</v>
      </c>
      <c r="B202" s="560"/>
      <c r="C202" s="560"/>
      <c r="D202" s="560"/>
      <c r="E202" s="560"/>
      <c r="F202" s="560"/>
      <c r="G202" s="112"/>
      <c r="H202" s="112"/>
      <c r="I202" s="112"/>
      <c r="J202" s="126"/>
    </row>
    <row r="203" spans="1:10" s="111" customFormat="1" ht="14.25" customHeight="1" x14ac:dyDescent="0.25">
      <c r="A203" s="560"/>
      <c r="B203" s="560"/>
      <c r="C203" s="560"/>
      <c r="D203" s="560"/>
      <c r="E203" s="560"/>
      <c r="F203" s="560"/>
      <c r="G203" s="112"/>
      <c r="H203" s="112"/>
      <c r="I203" s="112"/>
      <c r="J203" s="126"/>
    </row>
    <row r="204" spans="1:10" s="111" customFormat="1" ht="14.25" customHeight="1" x14ac:dyDescent="0.25">
      <c r="A204" s="560"/>
      <c r="B204" s="560"/>
      <c r="C204" s="560"/>
      <c r="D204" s="560"/>
      <c r="E204" s="560"/>
      <c r="F204" s="560"/>
      <c r="G204" s="112"/>
      <c r="H204" s="112"/>
      <c r="I204" s="112"/>
      <c r="J204" s="126"/>
    </row>
    <row r="205" spans="1:10" s="111" customFormat="1" ht="14.25" customHeight="1" x14ac:dyDescent="0.25">
      <c r="A205" s="560"/>
      <c r="B205" s="560"/>
      <c r="C205" s="560"/>
      <c r="D205" s="560"/>
      <c r="E205" s="560"/>
      <c r="F205" s="560"/>
      <c r="G205" s="112"/>
      <c r="H205" s="112"/>
      <c r="I205" s="112"/>
      <c r="J205" s="126"/>
    </row>
    <row r="206" spans="1:10" s="111" customFormat="1" ht="14.25" customHeight="1" x14ac:dyDescent="0.25">
      <c r="A206" s="560"/>
      <c r="B206" s="560"/>
      <c r="C206" s="560"/>
      <c r="D206" s="560"/>
      <c r="E206" s="560"/>
      <c r="F206" s="560"/>
      <c r="G206" s="118"/>
      <c r="H206" s="118"/>
      <c r="I206" s="118"/>
      <c r="J206" s="126"/>
    </row>
    <row r="207" spans="1:10" s="111" customFormat="1" ht="14.25" customHeight="1" x14ac:dyDescent="0.25">
      <c r="A207" s="560"/>
      <c r="B207" s="560"/>
      <c r="C207" s="560"/>
      <c r="D207" s="560"/>
      <c r="E207" s="560"/>
      <c r="F207" s="560"/>
      <c r="G207" s="118"/>
      <c r="H207" s="118"/>
      <c r="I207" s="118"/>
      <c r="J207" s="126"/>
    </row>
    <row r="208" spans="1:10" s="111" customFormat="1" ht="14.25" customHeight="1" x14ac:dyDescent="0.25">
      <c r="A208" s="2"/>
      <c r="B208" s="2"/>
      <c r="C208" s="2"/>
      <c r="D208" s="2"/>
      <c r="E208" s="2"/>
      <c r="F208" s="2"/>
      <c r="G208" s="112"/>
      <c r="H208" s="112"/>
      <c r="I208" s="112"/>
      <c r="J208" s="126"/>
    </row>
    <row r="209" spans="1:10" ht="15.75" customHeight="1" x14ac:dyDescent="0.25">
      <c r="A209" s="116" t="s">
        <v>1032</v>
      </c>
      <c r="B209" s="116"/>
      <c r="C209" s="116"/>
      <c r="D209" s="116"/>
      <c r="E209" s="116"/>
      <c r="F209" s="116"/>
      <c r="G209" s="116"/>
      <c r="H209" s="116"/>
      <c r="I209" s="116"/>
      <c r="J209" s="135" t="s">
        <v>1014</v>
      </c>
    </row>
    <row r="210" spans="1:10" s="111" customFormat="1" ht="14.25" customHeight="1" x14ac:dyDescent="0.25">
      <c r="A210" s="114"/>
      <c r="B210" s="114"/>
      <c r="C210" s="114"/>
      <c r="D210" s="114"/>
      <c r="E210" s="114"/>
      <c r="F210" s="114"/>
      <c r="G210" s="114"/>
      <c r="H210" s="114"/>
      <c r="I210" s="114"/>
      <c r="J210" s="134"/>
    </row>
    <row r="211" spans="1:10" s="111" customFormat="1" ht="14.25" customHeight="1" x14ac:dyDescent="0.25">
      <c r="A211" s="560" t="s">
        <v>215</v>
      </c>
      <c r="B211" s="560"/>
      <c r="C211" s="560"/>
      <c r="D211" s="560"/>
      <c r="E211" s="560"/>
      <c r="F211" s="560"/>
      <c r="G211" s="112"/>
      <c r="H211" s="112"/>
      <c r="I211" s="112"/>
      <c r="J211" s="126"/>
    </row>
    <row r="212" spans="1:10" s="111" customFormat="1" ht="14.25" customHeight="1" x14ac:dyDescent="0.25">
      <c r="A212" s="560"/>
      <c r="B212" s="560"/>
      <c r="C212" s="560"/>
      <c r="D212" s="560"/>
      <c r="E212" s="560"/>
      <c r="F212" s="560"/>
      <c r="G212" s="112"/>
      <c r="H212" s="112"/>
      <c r="I212" s="112"/>
      <c r="J212" s="126"/>
    </row>
    <row r="213" spans="1:10" s="111" customFormat="1" ht="14.25" customHeight="1" x14ac:dyDescent="0.25">
      <c r="A213" s="560"/>
      <c r="B213" s="560"/>
      <c r="C213" s="560"/>
      <c r="D213" s="560"/>
      <c r="E213" s="560"/>
      <c r="F213" s="560"/>
      <c r="G213" s="112"/>
      <c r="H213" s="112"/>
      <c r="I213" s="112"/>
    </row>
    <row r="214" spans="1:10" s="111" customFormat="1" ht="14.25" customHeight="1" x14ac:dyDescent="0.25">
      <c r="A214" s="2"/>
      <c r="B214" s="2"/>
      <c r="C214" s="2"/>
      <c r="D214" s="2"/>
      <c r="E214" s="2"/>
      <c r="F214" s="2"/>
      <c r="G214" s="112"/>
      <c r="H214" s="112"/>
      <c r="I214" s="112"/>
    </row>
    <row r="215" spans="1:10" s="111" customFormat="1" ht="14.25" customHeight="1" x14ac:dyDescent="0.25">
      <c r="A215" s="133" t="s">
        <v>1031</v>
      </c>
      <c r="B215" s="126"/>
      <c r="C215" s="126"/>
      <c r="D215" s="126"/>
      <c r="E215" s="126"/>
      <c r="F215" s="126"/>
      <c r="G215" s="126"/>
      <c r="H215" s="126"/>
      <c r="I215" s="126"/>
    </row>
    <row r="216" spans="1:10" s="111" customFormat="1" ht="14.25" customHeight="1" x14ac:dyDescent="0.25">
      <c r="A216" s="133"/>
      <c r="B216" s="126"/>
      <c r="C216" s="126"/>
      <c r="D216" s="126"/>
      <c r="E216" s="126"/>
      <c r="F216" s="126"/>
      <c r="G216" s="126"/>
      <c r="H216" s="126"/>
      <c r="I216" s="126"/>
    </row>
    <row r="217" spans="1:10" s="111" customFormat="1" ht="14.25" customHeight="1" x14ac:dyDescent="0.25">
      <c r="A217" s="555" t="s">
        <v>1030</v>
      </c>
      <c r="B217" s="556"/>
      <c r="C217" s="556"/>
      <c r="D217" s="556"/>
      <c r="E217" s="126"/>
      <c r="F217" s="553" t="s">
        <v>216</v>
      </c>
      <c r="G217" s="554"/>
      <c r="H217" s="554"/>
      <c r="I217" s="126"/>
    </row>
    <row r="218" spans="1:10" s="111" customFormat="1" ht="14.25" customHeight="1" x14ac:dyDescent="0.25">
      <c r="A218" s="555" t="s">
        <v>1029</v>
      </c>
      <c r="B218" s="556"/>
      <c r="C218" s="556"/>
      <c r="D218" s="556"/>
      <c r="E218" s="126"/>
      <c r="F218" s="553" t="s">
        <v>886</v>
      </c>
      <c r="G218" s="554"/>
      <c r="H218" s="554"/>
      <c r="I218" s="126"/>
    </row>
    <row r="219" spans="1:10" s="111" customFormat="1" ht="14.25" customHeight="1" x14ac:dyDescent="0.25">
      <c r="A219" s="127" t="s">
        <v>829</v>
      </c>
      <c r="B219" s="126"/>
      <c r="C219" s="126"/>
      <c r="D219" s="127"/>
      <c r="E219" s="126"/>
      <c r="F219" s="553" t="s">
        <v>304</v>
      </c>
      <c r="G219" s="553"/>
      <c r="H219" s="553"/>
      <c r="I219" s="126"/>
    </row>
    <row r="220" spans="1:10" s="111" customFormat="1" ht="14.25" customHeight="1" x14ac:dyDescent="0.25">
      <c r="A220" s="127" t="s">
        <v>989</v>
      </c>
      <c r="B220" s="126"/>
      <c r="C220" s="126"/>
      <c r="D220" s="126"/>
      <c r="E220" s="126"/>
      <c r="F220" s="553" t="s">
        <v>887</v>
      </c>
      <c r="G220" s="554"/>
      <c r="H220" s="554"/>
      <c r="I220" s="126"/>
    </row>
    <row r="221" spans="1:10" s="111" customFormat="1" ht="14.25" hidden="1" customHeight="1" x14ac:dyDescent="0.25">
      <c r="A221" s="127"/>
      <c r="B221" s="126"/>
      <c r="C221" s="126"/>
      <c r="D221" s="126"/>
      <c r="E221" s="126"/>
      <c r="F221" s="131"/>
      <c r="G221" s="132"/>
      <c r="H221" s="132"/>
      <c r="I221" s="126"/>
    </row>
    <row r="222" spans="1:10" s="111" customFormat="1" ht="14.25" hidden="1" customHeight="1" x14ac:dyDescent="0.25">
      <c r="A222" s="555" t="s">
        <v>836</v>
      </c>
      <c r="B222" s="556"/>
      <c r="C222" s="556"/>
      <c r="D222" s="556"/>
      <c r="E222" s="126"/>
      <c r="F222" s="561" t="s">
        <v>1028</v>
      </c>
      <c r="G222" s="561"/>
      <c r="H222" s="561"/>
      <c r="I222" s="127"/>
    </row>
    <row r="223" spans="1:10" s="111" customFormat="1" ht="14.25" customHeight="1" x14ac:dyDescent="0.25">
      <c r="A223" s="555" t="s">
        <v>217</v>
      </c>
      <c r="B223" s="556"/>
      <c r="C223" s="556"/>
      <c r="D223" s="556"/>
      <c r="E223" s="126"/>
      <c r="F223" s="555" t="s">
        <v>305</v>
      </c>
      <c r="G223" s="556"/>
      <c r="H223" s="556"/>
      <c r="I223" s="126"/>
    </row>
    <row r="224" spans="1:10" ht="15.75" hidden="1" customHeight="1" x14ac:dyDescent="0.25">
      <c r="A224" s="129" t="s">
        <v>1026</v>
      </c>
      <c r="B224" s="116"/>
      <c r="C224" s="116"/>
      <c r="D224" s="116"/>
      <c r="E224" s="116"/>
      <c r="F224" s="116"/>
      <c r="G224" s="116"/>
      <c r="H224" s="116"/>
      <c r="I224" s="116"/>
    </row>
    <row r="225" spans="1:9" s="111" customFormat="1" ht="14.25" hidden="1" customHeight="1" x14ac:dyDescent="0.25">
      <c r="A225" s="128"/>
      <c r="B225" s="114"/>
      <c r="C225" s="114"/>
      <c r="D225" s="114"/>
      <c r="E225" s="114"/>
      <c r="F225" s="114"/>
      <c r="G225" s="114"/>
      <c r="H225" s="114"/>
      <c r="I225" s="114"/>
    </row>
    <row r="226" spans="1:9" s="111" customFormat="1" ht="14.25" hidden="1" customHeight="1" x14ac:dyDescent="0.25">
      <c r="A226" s="123" t="s">
        <v>1025</v>
      </c>
      <c r="B226" s="126"/>
      <c r="C226" s="126"/>
      <c r="D226" s="126"/>
      <c r="E226" s="126"/>
      <c r="F226" s="126"/>
      <c r="G226" s="126"/>
      <c r="H226" s="126"/>
      <c r="I226" s="126"/>
    </row>
    <row r="227" spans="1:9" s="111" customFormat="1" ht="14.25" hidden="1" customHeight="1" x14ac:dyDescent="0.25">
      <c r="A227" s="127"/>
      <c r="B227" s="126"/>
      <c r="C227" s="126"/>
      <c r="D227" s="126"/>
      <c r="E227" s="126"/>
      <c r="F227" s="126"/>
      <c r="G227" s="126"/>
      <c r="H227" s="126"/>
      <c r="I227" s="126"/>
    </row>
    <row r="228" spans="1:9" s="111" customFormat="1" ht="14.25" hidden="1" customHeight="1" x14ac:dyDescent="0.25">
      <c r="A228" s="545" t="s">
        <v>399</v>
      </c>
      <c r="B228" s="546"/>
      <c r="C228" s="546"/>
      <c r="D228" s="546"/>
      <c r="E228" s="546"/>
      <c r="F228" s="546"/>
      <c r="G228" s="112"/>
      <c r="H228" s="112"/>
      <c r="I228" s="112"/>
    </row>
    <row r="229" spans="1:9" s="111" customFormat="1" ht="14.25" hidden="1" customHeight="1" x14ac:dyDescent="0.25">
      <c r="A229" s="546"/>
      <c r="B229" s="546"/>
      <c r="C229" s="546"/>
      <c r="D229" s="546"/>
      <c r="E229" s="546"/>
      <c r="F229" s="546"/>
      <c r="G229" s="112"/>
      <c r="H229" s="112"/>
      <c r="I229" s="112"/>
    </row>
    <row r="230" spans="1:9" s="111" customFormat="1" ht="14.25" hidden="1" customHeight="1" x14ac:dyDescent="0.25">
      <c r="A230" s="546"/>
      <c r="B230" s="546"/>
      <c r="C230" s="546"/>
      <c r="D230" s="546"/>
      <c r="E230" s="546"/>
      <c r="F230" s="546"/>
      <c r="G230" s="112"/>
      <c r="H230" s="112"/>
      <c r="I230" s="112"/>
    </row>
    <row r="231" spans="1:9" s="111" customFormat="1" ht="14.25" hidden="1" customHeight="1" x14ac:dyDescent="0.25">
      <c r="A231" s="546"/>
      <c r="B231" s="546"/>
      <c r="C231" s="546"/>
      <c r="D231" s="546"/>
      <c r="E231" s="546"/>
      <c r="F231" s="546"/>
      <c r="G231" s="112"/>
      <c r="H231" s="112"/>
      <c r="I231" s="112"/>
    </row>
    <row r="232" spans="1:9" s="111" customFormat="1" ht="14.25" hidden="1" customHeight="1" x14ac:dyDescent="0.25">
      <c r="A232" s="2"/>
      <c r="B232" s="2"/>
      <c r="C232" s="2"/>
      <c r="D232" s="2"/>
      <c r="E232" s="2"/>
      <c r="F232" s="2"/>
      <c r="G232" s="112"/>
      <c r="H232" s="112"/>
      <c r="I232" s="112"/>
    </row>
    <row r="233" spans="1:9" s="111" customFormat="1" ht="14.25" hidden="1" customHeight="1" x14ac:dyDescent="0.25">
      <c r="A233" s="559" t="s">
        <v>864</v>
      </c>
      <c r="B233" s="546"/>
      <c r="C233" s="546"/>
      <c r="D233" s="546"/>
      <c r="E233" s="546"/>
      <c r="F233" s="546"/>
      <c r="G233" s="152"/>
      <c r="H233" s="152"/>
      <c r="I233" s="152"/>
    </row>
    <row r="234" spans="1:9" s="111" customFormat="1" ht="14.25" hidden="1" customHeight="1" x14ac:dyDescent="0.25">
      <c r="A234" s="546"/>
      <c r="B234" s="546"/>
      <c r="C234" s="546"/>
      <c r="D234" s="546"/>
      <c r="E234" s="546"/>
      <c r="F234" s="546"/>
      <c r="G234" s="152"/>
      <c r="H234" s="152"/>
      <c r="I234" s="152"/>
    </row>
    <row r="235" spans="1:9" s="111" customFormat="1" ht="14.25" hidden="1" customHeight="1" x14ac:dyDescent="0.25">
      <c r="A235" s="112"/>
      <c r="B235" s="112"/>
      <c r="C235" s="112"/>
      <c r="D235" s="112"/>
      <c r="E235" s="112"/>
      <c r="F235" s="112"/>
      <c r="G235" s="112"/>
      <c r="H235" s="112"/>
      <c r="I235" s="112"/>
    </row>
    <row r="236" spans="1:9" s="111" customFormat="1" ht="14.25" hidden="1" customHeight="1" x14ac:dyDescent="0.25">
      <c r="A236" s="545" t="s">
        <v>317</v>
      </c>
      <c r="B236" s="546"/>
      <c r="C236" s="546"/>
      <c r="D236" s="546"/>
      <c r="E236" s="546"/>
      <c r="F236" s="546"/>
      <c r="G236" s="112"/>
      <c r="H236" s="112"/>
      <c r="I236" s="112"/>
    </row>
    <row r="237" spans="1:9" s="111" customFormat="1" ht="14.25" hidden="1" customHeight="1" x14ac:dyDescent="0.25">
      <c r="A237" s="546"/>
      <c r="B237" s="546"/>
      <c r="C237" s="546"/>
      <c r="D237" s="546"/>
      <c r="E237" s="546"/>
      <c r="F237" s="546"/>
      <c r="G237" s="112"/>
      <c r="H237" s="112"/>
      <c r="I237" s="112"/>
    </row>
    <row r="238" spans="1:9" s="111" customFormat="1" ht="14.25" hidden="1" customHeight="1" x14ac:dyDescent="0.25">
      <c r="A238" s="546"/>
      <c r="B238" s="546"/>
      <c r="C238" s="546"/>
      <c r="D238" s="546"/>
      <c r="E238" s="546"/>
      <c r="F238" s="546"/>
      <c r="G238" s="112"/>
      <c r="H238" s="112"/>
      <c r="I238" s="112"/>
    </row>
    <row r="239" spans="1:9" s="111" customFormat="1" ht="14.25" customHeight="1" x14ac:dyDescent="0.25">
      <c r="A239" s="555" t="s">
        <v>218</v>
      </c>
      <c r="B239" s="556"/>
      <c r="C239" s="556"/>
      <c r="D239" s="556"/>
      <c r="E239" s="126"/>
      <c r="F239" s="555" t="s">
        <v>1028</v>
      </c>
      <c r="G239" s="556"/>
      <c r="H239" s="556"/>
      <c r="I239" s="126"/>
    </row>
    <row r="240" spans="1:9" s="111" customFormat="1" ht="14.25" customHeight="1" x14ac:dyDescent="0.25">
      <c r="A240" s="555" t="s">
        <v>830</v>
      </c>
      <c r="B240" s="556"/>
      <c r="C240" s="556"/>
      <c r="D240" s="556"/>
      <c r="E240" s="126"/>
      <c r="F240" s="555" t="s">
        <v>1027</v>
      </c>
      <c r="G240" s="556"/>
      <c r="H240" s="556"/>
      <c r="I240" s="126"/>
    </row>
    <row r="241" spans="1:9" s="111" customFormat="1" ht="14.25" customHeight="1" x14ac:dyDescent="0.25">
      <c r="A241" s="316"/>
      <c r="B241" s="130"/>
      <c r="C241" s="130"/>
      <c r="D241" s="130"/>
      <c r="E241" s="126"/>
      <c r="F241" s="316"/>
      <c r="G241" s="130"/>
      <c r="H241" s="130"/>
      <c r="I241" s="126"/>
    </row>
    <row r="242" spans="1:9" ht="15.75" customHeight="1" x14ac:dyDescent="0.25">
      <c r="A242" s="193" t="s">
        <v>1238</v>
      </c>
      <c r="B242" s="116"/>
      <c r="C242" s="116"/>
      <c r="D242" s="116"/>
      <c r="E242" s="116"/>
      <c r="F242" s="116"/>
      <c r="G242" s="116"/>
      <c r="H242" s="116"/>
      <c r="I242" s="116"/>
    </row>
    <row r="243" spans="1:9" ht="15.75" customHeight="1" x14ac:dyDescent="0.25">
      <c r="A243" s="193"/>
      <c r="B243" s="116"/>
      <c r="C243" s="116"/>
      <c r="D243" s="116"/>
      <c r="E243" s="116"/>
      <c r="F243" s="116"/>
      <c r="G243" s="116"/>
      <c r="H243" s="116"/>
      <c r="I243" s="116"/>
    </row>
    <row r="244" spans="1:9" ht="15.75" customHeight="1" x14ac:dyDescent="0.25">
      <c r="A244" s="551" t="str">
        <f>Header!A18&amp;" (the school) does not hold any cash generating assets.  Assets are considered cash generating where their primary objective is to generate a commercial return."</f>
        <v>Blind and Low Vision Education Network NZ (the school) does not hold any cash generating assets.  Assets are considered cash generating where their primary objective is to generate a commercial return.</v>
      </c>
      <c r="B244" s="551"/>
      <c r="C244" s="551"/>
      <c r="D244" s="551"/>
      <c r="E244" s="551"/>
      <c r="F244" s="551"/>
      <c r="G244" s="116"/>
      <c r="H244" s="116"/>
      <c r="I244" s="116"/>
    </row>
    <row r="245" spans="1:9" ht="15.75" customHeight="1" x14ac:dyDescent="0.25">
      <c r="A245" s="551"/>
      <c r="B245" s="551"/>
      <c r="C245" s="551"/>
      <c r="D245" s="551"/>
      <c r="E245" s="551"/>
      <c r="F245" s="551"/>
      <c r="G245" s="116"/>
      <c r="H245" s="116"/>
      <c r="I245" s="116"/>
    </row>
    <row r="246" spans="1:9" s="111" customFormat="1" ht="14.25" customHeight="1" x14ac:dyDescent="0.25">
      <c r="A246" s="121"/>
      <c r="B246" s="114"/>
      <c r="C246" s="114"/>
      <c r="D246" s="114"/>
      <c r="E246" s="114"/>
      <c r="F246" s="114"/>
      <c r="G246" s="114"/>
      <c r="H246" s="114"/>
      <c r="I246" s="114"/>
    </row>
    <row r="247" spans="1:9" s="111" customFormat="1" ht="14.25" customHeight="1" x14ac:dyDescent="0.25">
      <c r="A247" s="557" t="s">
        <v>1135</v>
      </c>
      <c r="B247" s="558"/>
      <c r="C247" s="114"/>
      <c r="D247" s="114"/>
      <c r="E247" s="114"/>
      <c r="F247" s="114"/>
      <c r="G247" s="114"/>
      <c r="H247" s="114"/>
      <c r="I247" s="114"/>
    </row>
    <row r="248" spans="1:9" s="111" customFormat="1" ht="14.25" customHeight="1" x14ac:dyDescent="0.25">
      <c r="A248" s="316"/>
      <c r="B248" s="130"/>
      <c r="C248" s="130"/>
      <c r="D248" s="130"/>
      <c r="E248" s="126"/>
      <c r="F248" s="316"/>
      <c r="G248" s="130"/>
      <c r="H248" s="130"/>
      <c r="I248" s="126"/>
    </row>
    <row r="249" spans="1:9" s="111" customFormat="1" ht="14.25" customHeight="1" x14ac:dyDescent="0.25">
      <c r="A249" s="551" t="s">
        <v>1136</v>
      </c>
      <c r="B249" s="551"/>
      <c r="C249" s="551"/>
      <c r="D249" s="551"/>
      <c r="E249" s="551"/>
      <c r="F249" s="551"/>
      <c r="G249" s="130"/>
      <c r="H249" s="130"/>
      <c r="I249" s="126"/>
    </row>
    <row r="250" spans="1:9" s="111" customFormat="1" ht="14.25" customHeight="1" x14ac:dyDescent="0.25">
      <c r="A250" s="551"/>
      <c r="B250" s="551"/>
      <c r="C250" s="551"/>
      <c r="D250" s="551"/>
      <c r="E250" s="551"/>
      <c r="F250" s="551"/>
      <c r="G250" s="130"/>
      <c r="H250" s="130"/>
      <c r="I250" s="126"/>
    </row>
    <row r="251" spans="1:9" s="111" customFormat="1" ht="14.25" customHeight="1" x14ac:dyDescent="0.25">
      <c r="A251" s="551"/>
      <c r="B251" s="551"/>
      <c r="C251" s="551"/>
      <c r="D251" s="551"/>
      <c r="E251" s="551"/>
      <c r="F251" s="551"/>
      <c r="G251" s="130"/>
      <c r="H251" s="130"/>
      <c r="I251" s="126"/>
    </row>
    <row r="252" spans="1:9" s="111" customFormat="1" ht="14.25" customHeight="1" x14ac:dyDescent="0.25">
      <c r="A252" s="551"/>
      <c r="B252" s="551"/>
      <c r="C252" s="551"/>
      <c r="D252" s="551"/>
      <c r="E252" s="551"/>
      <c r="F252" s="551"/>
      <c r="G252" s="130"/>
      <c r="H252" s="130"/>
      <c r="I252" s="126"/>
    </row>
    <row r="253" spans="1:9" s="111" customFormat="1" ht="14.25" customHeight="1" x14ac:dyDescent="0.25">
      <c r="A253" s="551"/>
      <c r="B253" s="551"/>
      <c r="C253" s="551"/>
      <c r="D253" s="551"/>
      <c r="E253" s="551"/>
      <c r="F253" s="551"/>
      <c r="G253" s="130"/>
      <c r="H253" s="130"/>
      <c r="I253" s="126"/>
    </row>
    <row r="254" spans="1:9" s="111" customFormat="1" ht="14.25" customHeight="1" x14ac:dyDescent="0.25">
      <c r="A254" s="317"/>
      <c r="B254" s="317"/>
      <c r="C254" s="317"/>
      <c r="D254" s="317"/>
      <c r="E254" s="317"/>
      <c r="F254" s="317"/>
      <c r="G254" s="130"/>
      <c r="H254" s="130"/>
      <c r="I254" s="126"/>
    </row>
    <row r="255" spans="1:9" s="111" customFormat="1" ht="14.25" customHeight="1" x14ac:dyDescent="0.25">
      <c r="A255" s="551" t="s">
        <v>1137</v>
      </c>
      <c r="B255" s="551"/>
      <c r="C255" s="551"/>
      <c r="D255" s="551"/>
      <c r="E255" s="551"/>
      <c r="F255" s="551"/>
      <c r="G255" s="130"/>
      <c r="H255" s="130"/>
      <c r="I255" s="126"/>
    </row>
    <row r="256" spans="1:9" s="111" customFormat="1" ht="14.25" customHeight="1" x14ac:dyDescent="0.25">
      <c r="A256" s="551"/>
      <c r="B256" s="551"/>
      <c r="C256" s="551"/>
      <c r="D256" s="551"/>
      <c r="E256" s="551"/>
      <c r="F256" s="551"/>
      <c r="G256" s="130"/>
      <c r="H256" s="130"/>
      <c r="I256" s="126"/>
    </row>
    <row r="257" spans="1:14" s="111" customFormat="1" ht="14.25" customHeight="1" x14ac:dyDescent="0.25">
      <c r="A257" s="551"/>
      <c r="B257" s="551"/>
      <c r="C257" s="551"/>
      <c r="D257" s="551"/>
      <c r="E257" s="551"/>
      <c r="F257" s="551"/>
      <c r="G257" s="130"/>
      <c r="H257" s="130"/>
      <c r="I257" s="126"/>
    </row>
    <row r="258" spans="1:14" s="111" customFormat="1" ht="14.25" customHeight="1" x14ac:dyDescent="0.25">
      <c r="A258" s="317"/>
      <c r="B258" s="317"/>
      <c r="C258" s="317"/>
      <c r="D258" s="317"/>
      <c r="E258" s="317"/>
      <c r="F258" s="317"/>
      <c r="G258" s="130"/>
      <c r="H258" s="130"/>
      <c r="I258" s="126"/>
    </row>
    <row r="259" spans="1:14" s="111" customFormat="1" ht="14.25" customHeight="1" x14ac:dyDescent="0.25">
      <c r="A259" s="551" t="s">
        <v>1138</v>
      </c>
      <c r="B259" s="551"/>
      <c r="C259" s="551"/>
      <c r="D259" s="551"/>
      <c r="E259" s="551"/>
      <c r="F259" s="551"/>
      <c r="G259" s="130"/>
      <c r="H259" s="130"/>
      <c r="I259" s="126"/>
    </row>
    <row r="260" spans="1:14" s="111" customFormat="1" ht="14.25" customHeight="1" x14ac:dyDescent="0.25">
      <c r="A260" s="551"/>
      <c r="B260" s="551"/>
      <c r="C260" s="551"/>
      <c r="D260" s="551"/>
      <c r="E260" s="551"/>
      <c r="F260" s="551"/>
      <c r="G260" s="130"/>
      <c r="H260" s="130"/>
      <c r="I260" s="126"/>
    </row>
    <row r="261" spans="1:14" s="111" customFormat="1" ht="14.25" customHeight="1" x14ac:dyDescent="0.25">
      <c r="A261" s="551"/>
      <c r="B261" s="551"/>
      <c r="C261" s="551"/>
      <c r="D261" s="551"/>
      <c r="E261" s="551"/>
      <c r="F261" s="551"/>
      <c r="G261" s="130"/>
      <c r="H261" s="130"/>
      <c r="I261" s="126"/>
    </row>
    <row r="262" spans="1:14" s="111" customFormat="1" ht="14.25" customHeight="1" x14ac:dyDescent="0.25">
      <c r="A262" s="317"/>
      <c r="B262" s="317"/>
      <c r="C262" s="317"/>
      <c r="D262" s="317"/>
      <c r="E262" s="317"/>
      <c r="F262" s="317"/>
      <c r="G262" s="130"/>
      <c r="H262" s="130"/>
      <c r="I262" s="126"/>
    </row>
    <row r="263" spans="1:14" s="111" customFormat="1" ht="14.25" customHeight="1" x14ac:dyDescent="0.25">
      <c r="A263" s="551" t="s">
        <v>1139</v>
      </c>
      <c r="B263" s="551"/>
      <c r="C263" s="551"/>
      <c r="D263" s="551"/>
      <c r="E263" s="551"/>
      <c r="F263" s="551"/>
      <c r="G263" s="130"/>
      <c r="H263" s="130"/>
      <c r="I263" s="126"/>
    </row>
    <row r="264" spans="1:14" s="111" customFormat="1" ht="14.25" customHeight="1" x14ac:dyDescent="0.25">
      <c r="A264" s="112"/>
      <c r="B264" s="112"/>
      <c r="C264" s="112"/>
      <c r="D264" s="112"/>
      <c r="E264" s="112"/>
      <c r="F264" s="112"/>
      <c r="G264" s="112"/>
      <c r="H264" s="112"/>
      <c r="I264" s="112"/>
    </row>
    <row r="265" spans="1:14" ht="15.75" customHeight="1" x14ac:dyDescent="0.25">
      <c r="A265" s="117" t="s">
        <v>1239</v>
      </c>
      <c r="B265" s="116"/>
      <c r="C265" s="116"/>
      <c r="D265" s="116"/>
      <c r="E265" s="116"/>
      <c r="F265" s="116"/>
      <c r="G265" s="116"/>
      <c r="H265" s="116"/>
      <c r="I265" s="116"/>
      <c r="N265" s="234" t="s">
        <v>1014</v>
      </c>
    </row>
    <row r="266" spans="1:14" s="111" customFormat="1" ht="14.25" customHeight="1" x14ac:dyDescent="0.25">
      <c r="A266" s="115"/>
      <c r="B266" s="114"/>
      <c r="C266" s="114"/>
      <c r="D266" s="114"/>
      <c r="E266" s="114"/>
      <c r="F266" s="114"/>
      <c r="G266" s="114"/>
      <c r="H266" s="114"/>
      <c r="I266" s="114"/>
    </row>
    <row r="267" spans="1:14" s="111" customFormat="1" ht="14.25" customHeight="1" x14ac:dyDescent="0.2">
      <c r="A267" s="551" t="s">
        <v>402</v>
      </c>
      <c r="B267" s="551"/>
      <c r="C267" s="551"/>
      <c r="D267" s="551"/>
      <c r="E267" s="551"/>
      <c r="F267" s="551"/>
      <c r="G267" s="113"/>
      <c r="H267" s="113"/>
      <c r="I267" s="113"/>
    </row>
    <row r="268" spans="1:14" s="111" customFormat="1" ht="14.25" customHeight="1" x14ac:dyDescent="0.2">
      <c r="A268" s="551"/>
      <c r="B268" s="551"/>
      <c r="C268" s="551"/>
      <c r="D268" s="551"/>
      <c r="E268" s="551"/>
      <c r="F268" s="551"/>
      <c r="G268" s="113"/>
      <c r="H268" s="113"/>
      <c r="I268" s="113"/>
    </row>
    <row r="269" spans="1:14" s="111" customFormat="1" ht="14.25" customHeight="1" x14ac:dyDescent="0.2">
      <c r="A269" s="551"/>
      <c r="B269" s="551"/>
      <c r="C269" s="551"/>
      <c r="D269" s="551"/>
      <c r="E269" s="551"/>
      <c r="F269" s="551"/>
      <c r="G269" s="113"/>
      <c r="H269" s="113"/>
      <c r="I269" s="113"/>
    </row>
    <row r="270" spans="1:14" s="111" customFormat="1" ht="14.25" customHeight="1" x14ac:dyDescent="0.25">
      <c r="A270" s="112"/>
      <c r="B270" s="112"/>
      <c r="C270" s="112"/>
      <c r="D270" s="112"/>
      <c r="E270" s="112"/>
      <c r="F270" s="112"/>
      <c r="G270" s="112"/>
      <c r="H270" s="112"/>
      <c r="I270" s="112"/>
      <c r="N270" s="111" t="s">
        <v>1014</v>
      </c>
    </row>
    <row r="271" spans="1:14" ht="15.75" customHeight="1" x14ac:dyDescent="0.25">
      <c r="A271" s="193" t="s">
        <v>1240</v>
      </c>
      <c r="B271" s="116"/>
      <c r="C271" s="116"/>
      <c r="D271" s="116"/>
      <c r="E271" s="116"/>
      <c r="F271" s="116"/>
      <c r="G271" s="116"/>
      <c r="H271" s="116"/>
      <c r="I271" s="116"/>
    </row>
    <row r="272" spans="1:14" s="111" customFormat="1" ht="14.25" customHeight="1" x14ac:dyDescent="0.25">
      <c r="A272" s="121"/>
      <c r="B272" s="114"/>
      <c r="C272" s="114"/>
      <c r="D272" s="114"/>
      <c r="E272" s="114"/>
      <c r="F272" s="114"/>
      <c r="G272" s="114"/>
      <c r="H272" s="114"/>
      <c r="I272" s="114"/>
    </row>
    <row r="273" spans="1:9" s="111" customFormat="1" ht="14.25" customHeight="1" x14ac:dyDescent="0.25">
      <c r="A273" s="318" t="s">
        <v>300</v>
      </c>
      <c r="B273" s="319"/>
      <c r="C273" s="121"/>
      <c r="D273" s="114"/>
      <c r="E273" s="114"/>
      <c r="F273" s="114"/>
      <c r="G273" s="114"/>
      <c r="H273" s="114"/>
      <c r="I273" s="114"/>
    </row>
    <row r="274" spans="1:9" s="111" customFormat="1" ht="14.25" customHeight="1" x14ac:dyDescent="0.25">
      <c r="A274" s="125"/>
      <c r="B274" s="124"/>
      <c r="C274" s="114"/>
      <c r="D274" s="114"/>
      <c r="E274" s="114"/>
      <c r="F274" s="114"/>
      <c r="G274" s="114"/>
      <c r="H274" s="114"/>
      <c r="I274" s="114"/>
    </row>
    <row r="275" spans="1:9" s="111" customFormat="1" ht="14.25" customHeight="1" x14ac:dyDescent="0.25">
      <c r="A275" s="545" t="s">
        <v>1140</v>
      </c>
      <c r="B275" s="546"/>
      <c r="C275" s="546"/>
      <c r="D275" s="546"/>
      <c r="E275" s="546"/>
      <c r="F275" s="546"/>
      <c r="G275" s="112"/>
      <c r="H275" s="112"/>
      <c r="I275" s="112"/>
    </row>
    <row r="276" spans="1:9" s="111" customFormat="1" ht="14.25" customHeight="1" x14ac:dyDescent="0.25">
      <c r="A276" s="546"/>
      <c r="B276" s="546"/>
      <c r="C276" s="546"/>
      <c r="D276" s="546"/>
      <c r="E276" s="546"/>
      <c r="F276" s="546"/>
      <c r="G276" s="112"/>
      <c r="H276" s="112"/>
      <c r="I276" s="112"/>
    </row>
    <row r="277" spans="1:9" s="111" customFormat="1" ht="14.25" customHeight="1" x14ac:dyDescent="0.25">
      <c r="A277" s="546"/>
      <c r="B277" s="546"/>
      <c r="C277" s="546"/>
      <c r="D277" s="546"/>
      <c r="E277" s="546"/>
      <c r="F277" s="546"/>
      <c r="G277" s="112"/>
      <c r="H277" s="112"/>
      <c r="I277" s="112"/>
    </row>
    <row r="278" spans="1:9" s="111" customFormat="1" ht="14.25" customHeight="1" x14ac:dyDescent="0.25">
      <c r="A278" s="546"/>
      <c r="B278" s="546"/>
      <c r="C278" s="546"/>
      <c r="D278" s="546"/>
      <c r="E278" s="546"/>
      <c r="F278" s="546"/>
      <c r="G278" s="112"/>
      <c r="H278" s="112"/>
      <c r="I278" s="112"/>
    </row>
    <row r="279" spans="1:9" s="111" customFormat="1" ht="14.25" customHeight="1" x14ac:dyDescent="0.25">
      <c r="A279" s="532"/>
      <c r="B279" s="532"/>
      <c r="C279" s="532"/>
      <c r="D279" s="532"/>
      <c r="E279" s="532"/>
      <c r="F279" s="532"/>
      <c r="G279" s="112"/>
      <c r="H279" s="112"/>
      <c r="I279" s="112"/>
    </row>
    <row r="280" spans="1:9" s="111" customFormat="1" ht="14.25" customHeight="1" x14ac:dyDescent="0.25">
      <c r="A280" s="536" t="s">
        <v>1361</v>
      </c>
      <c r="B280" s="532"/>
      <c r="C280" s="532"/>
      <c r="D280" s="532"/>
      <c r="E280" s="532"/>
      <c r="F280" s="532"/>
      <c r="G280" s="112"/>
      <c r="H280" s="112"/>
      <c r="I280" s="112"/>
    </row>
    <row r="281" spans="1:9" s="111" customFormat="1" ht="14.25" customHeight="1" x14ac:dyDescent="0.25">
      <c r="A281" s="536"/>
      <c r="B281" s="532"/>
      <c r="C281" s="532"/>
      <c r="D281" s="532"/>
      <c r="E281" s="532"/>
      <c r="F281" s="532"/>
      <c r="G281" s="112"/>
      <c r="H281" s="112"/>
      <c r="I281" s="112"/>
    </row>
    <row r="282" spans="1:9" s="111" customFormat="1" ht="112.5" customHeight="1" x14ac:dyDescent="0.25">
      <c r="A282" s="545" t="s">
        <v>1362</v>
      </c>
      <c r="B282" s="546"/>
      <c r="C282" s="546"/>
      <c r="D282" s="546"/>
      <c r="E282" s="546"/>
      <c r="F282" s="546"/>
      <c r="G282" s="112"/>
      <c r="H282" s="112"/>
      <c r="I282" s="112"/>
    </row>
    <row r="283" spans="1:9" s="111" customFormat="1" ht="14.25" customHeight="1" x14ac:dyDescent="0.25">
      <c r="A283" s="112"/>
      <c r="B283" s="112"/>
      <c r="C283" s="112"/>
      <c r="D283" s="112"/>
      <c r="E283" s="112"/>
      <c r="F283" s="112"/>
      <c r="G283" s="112"/>
      <c r="H283" s="112"/>
      <c r="I283" s="112"/>
    </row>
    <row r="284" spans="1:9" ht="15.75" customHeight="1" x14ac:dyDescent="0.25">
      <c r="A284" s="117" t="s">
        <v>1241</v>
      </c>
      <c r="B284" s="116"/>
      <c r="C284" s="116"/>
      <c r="D284" s="116"/>
      <c r="E284" s="116"/>
      <c r="F284" s="116"/>
      <c r="G284" s="116"/>
      <c r="H284" s="116"/>
      <c r="I284" s="116"/>
    </row>
    <row r="285" spans="1:9" s="111" customFormat="1" ht="14.25" customHeight="1" x14ac:dyDescent="0.25">
      <c r="A285" s="115"/>
      <c r="B285" s="114"/>
      <c r="C285" s="114"/>
      <c r="D285" s="114"/>
      <c r="E285" s="114"/>
      <c r="F285" s="114"/>
      <c r="G285" s="114"/>
      <c r="H285" s="114"/>
      <c r="I285" s="114"/>
    </row>
    <row r="286" spans="1:9" s="111" customFormat="1" ht="14.25" customHeight="1" x14ac:dyDescent="0.25">
      <c r="A286" s="545" t="s">
        <v>390</v>
      </c>
      <c r="B286" s="546"/>
      <c r="C286" s="546"/>
      <c r="D286" s="546"/>
      <c r="E286" s="546"/>
      <c r="F286" s="546"/>
      <c r="G286" s="112"/>
      <c r="H286" s="112"/>
      <c r="I286" s="112"/>
    </row>
    <row r="287" spans="1:9" s="111" customFormat="1" ht="14.25" customHeight="1" x14ac:dyDescent="0.25">
      <c r="A287" s="546"/>
      <c r="B287" s="546"/>
      <c r="C287" s="546"/>
      <c r="D287" s="546"/>
      <c r="E287" s="546"/>
      <c r="F287" s="546"/>
      <c r="G287" s="112"/>
      <c r="H287" s="112"/>
      <c r="I287" s="112"/>
    </row>
    <row r="288" spans="1:9" s="111" customFormat="1" ht="14.25" customHeight="1" x14ac:dyDescent="0.25">
      <c r="A288" s="546"/>
      <c r="B288" s="546"/>
      <c r="C288" s="546"/>
      <c r="D288" s="546"/>
      <c r="E288" s="546"/>
      <c r="F288" s="546"/>
      <c r="G288" s="112"/>
      <c r="H288" s="112"/>
      <c r="I288" s="112"/>
    </row>
    <row r="289" spans="1:9" s="111" customFormat="1" ht="14.25" customHeight="1" x14ac:dyDescent="0.25">
      <c r="A289" s="112"/>
      <c r="B289" s="112"/>
      <c r="C289" s="112"/>
      <c r="D289" s="112"/>
      <c r="E289" s="112"/>
      <c r="F289" s="112"/>
      <c r="G289" s="112"/>
      <c r="H289" s="112"/>
      <c r="I289" s="112"/>
    </row>
    <row r="290" spans="1:9" s="111" customFormat="1" ht="14.25" customHeight="1" x14ac:dyDescent="0.2">
      <c r="A290" s="551" t="s">
        <v>403</v>
      </c>
      <c r="B290" s="551"/>
      <c r="C290" s="551"/>
      <c r="D290" s="551"/>
      <c r="E290" s="551"/>
      <c r="F290" s="551"/>
      <c r="G290" s="118"/>
      <c r="H290" s="118"/>
      <c r="I290" s="118"/>
    </row>
    <row r="291" spans="1:9" s="111" customFormat="1" ht="14.25" customHeight="1" x14ac:dyDescent="0.2">
      <c r="A291" s="551"/>
      <c r="B291" s="551"/>
      <c r="C291" s="551"/>
      <c r="D291" s="551"/>
      <c r="E291" s="551"/>
      <c r="F291" s="551"/>
      <c r="G291" s="118"/>
      <c r="H291" s="118"/>
      <c r="I291" s="118"/>
    </row>
    <row r="292" spans="1:9" s="111" customFormat="1" ht="14.25" customHeight="1" x14ac:dyDescent="0.25">
      <c r="A292" s="112"/>
      <c r="B292" s="112"/>
      <c r="C292" s="112"/>
      <c r="D292" s="112"/>
      <c r="E292" s="112"/>
      <c r="F292" s="112"/>
      <c r="G292" s="112"/>
      <c r="H292" s="112"/>
      <c r="I292" s="112"/>
    </row>
    <row r="293" spans="1:9" ht="15.75" customHeight="1" x14ac:dyDescent="0.25">
      <c r="A293" s="193" t="s">
        <v>1242</v>
      </c>
      <c r="B293" s="116"/>
      <c r="C293" s="116"/>
      <c r="D293" s="116"/>
      <c r="E293" s="116"/>
      <c r="F293" s="116"/>
      <c r="G293" s="116"/>
      <c r="H293" s="116"/>
      <c r="I293" s="116"/>
    </row>
    <row r="294" spans="1:9" s="111" customFormat="1" ht="14.25" customHeight="1" x14ac:dyDescent="0.25">
      <c r="A294" s="121"/>
      <c r="B294" s="114"/>
      <c r="C294" s="114"/>
      <c r="D294" s="114"/>
      <c r="E294" s="114"/>
      <c r="F294" s="114"/>
      <c r="G294" s="114"/>
      <c r="H294" s="114"/>
      <c r="I294" s="114"/>
    </row>
    <row r="295" spans="1:9" s="111" customFormat="1" ht="14.25" customHeight="1" x14ac:dyDescent="0.2">
      <c r="A295" s="550" t="s">
        <v>404</v>
      </c>
      <c r="B295" s="550"/>
      <c r="C295" s="550"/>
      <c r="D295" s="550"/>
      <c r="E295" s="550"/>
      <c r="F295" s="550"/>
      <c r="G295" s="113"/>
      <c r="H295" s="113"/>
      <c r="I295" s="113"/>
    </row>
    <row r="296" spans="1:9" s="111" customFormat="1" ht="14.25" customHeight="1" x14ac:dyDescent="0.2">
      <c r="A296" s="550"/>
      <c r="B296" s="550"/>
      <c r="C296" s="550"/>
      <c r="D296" s="550"/>
      <c r="E296" s="550"/>
      <c r="F296" s="550"/>
      <c r="G296" s="113"/>
      <c r="H296" s="113"/>
      <c r="I296" s="113"/>
    </row>
    <row r="297" spans="1:9" s="111" customFormat="1" ht="14.25" customHeight="1" x14ac:dyDescent="0.25">
      <c r="A297" s="112"/>
      <c r="B297" s="112"/>
      <c r="C297" s="112"/>
      <c r="D297" s="112"/>
      <c r="E297" s="112"/>
      <c r="F297" s="112"/>
      <c r="G297" s="112"/>
      <c r="H297" s="112"/>
      <c r="I297" s="112"/>
    </row>
    <row r="298" spans="1:9" ht="15.75" customHeight="1" x14ac:dyDescent="0.25">
      <c r="A298" s="193" t="s">
        <v>1243</v>
      </c>
      <c r="B298" s="116"/>
      <c r="C298" s="116"/>
      <c r="D298" s="116"/>
      <c r="E298" s="116"/>
      <c r="F298" s="116"/>
      <c r="G298" s="116"/>
      <c r="H298" s="116"/>
      <c r="I298" s="116"/>
    </row>
    <row r="299" spans="1:9" s="111" customFormat="1" ht="14.25" customHeight="1" x14ac:dyDescent="0.25">
      <c r="A299" s="121"/>
      <c r="B299" s="114"/>
      <c r="C299" s="114"/>
      <c r="D299" s="114"/>
      <c r="E299" s="114"/>
      <c r="F299" s="114"/>
      <c r="G299" s="114"/>
      <c r="H299" s="114"/>
      <c r="I299" s="114"/>
    </row>
    <row r="300" spans="1:9" s="111" customFormat="1" ht="14.25" customHeight="1" x14ac:dyDescent="0.2">
      <c r="A300" s="550" t="s">
        <v>405</v>
      </c>
      <c r="B300" s="550"/>
      <c r="C300" s="550"/>
      <c r="D300" s="550"/>
      <c r="E300" s="550"/>
      <c r="F300" s="550"/>
      <c r="G300" s="113"/>
      <c r="H300" s="113"/>
      <c r="I300" s="113"/>
    </row>
    <row r="301" spans="1:9" s="111" customFormat="1" ht="14.25" customHeight="1" x14ac:dyDescent="0.2">
      <c r="A301" s="550"/>
      <c r="B301" s="550"/>
      <c r="C301" s="550"/>
      <c r="D301" s="550"/>
      <c r="E301" s="550"/>
      <c r="F301" s="550"/>
      <c r="G301" s="113"/>
      <c r="H301" s="113"/>
      <c r="I301" s="113"/>
    </row>
    <row r="302" spans="1:9" s="111" customFormat="1" ht="14.25" customHeight="1" x14ac:dyDescent="0.25">
      <c r="A302" s="112"/>
      <c r="B302" s="112"/>
      <c r="C302" s="112"/>
      <c r="D302" s="112"/>
      <c r="E302" s="112"/>
      <c r="F302" s="112"/>
      <c r="G302" s="112"/>
      <c r="H302" s="112"/>
      <c r="I302" s="112"/>
    </row>
    <row r="303" spans="1:9" ht="15.75" customHeight="1" x14ac:dyDescent="0.25">
      <c r="A303" s="547" t="s">
        <v>1244</v>
      </c>
      <c r="B303" s="548"/>
      <c r="C303" s="549"/>
      <c r="D303" s="549"/>
      <c r="E303" s="549"/>
      <c r="F303" s="116"/>
      <c r="G303" s="116"/>
      <c r="H303" s="116"/>
      <c r="I303" s="116"/>
    </row>
    <row r="304" spans="1:9" s="111" customFormat="1" ht="14.25" customHeight="1" x14ac:dyDescent="0.25">
      <c r="A304" s="121"/>
      <c r="B304" s="120"/>
      <c r="C304" s="119"/>
      <c r="D304" s="119"/>
      <c r="E304" s="119"/>
      <c r="F304" s="114"/>
      <c r="G304" s="114"/>
      <c r="H304" s="114"/>
      <c r="I304" s="114"/>
    </row>
    <row r="305" spans="1:10" s="111" customFormat="1" ht="14.25" customHeight="1" x14ac:dyDescent="0.25">
      <c r="A305" s="545" t="s">
        <v>406</v>
      </c>
      <c r="B305" s="546"/>
      <c r="C305" s="546"/>
      <c r="D305" s="546"/>
      <c r="E305" s="546"/>
      <c r="F305" s="546"/>
      <c r="G305" s="112"/>
      <c r="H305" s="112"/>
      <c r="I305" s="112"/>
    </row>
    <row r="306" spans="1:10" s="111" customFormat="1" ht="14.25" customHeight="1" x14ac:dyDescent="0.25">
      <c r="A306" s="546"/>
      <c r="B306" s="546"/>
      <c r="C306" s="546"/>
      <c r="D306" s="546"/>
      <c r="E306" s="546"/>
      <c r="F306" s="546"/>
      <c r="G306" s="112"/>
      <c r="H306" s="112"/>
      <c r="I306" s="112"/>
    </row>
    <row r="307" spans="1:10" s="111" customFormat="1" ht="14.25" customHeight="1" x14ac:dyDescent="0.25">
      <c r="A307" s="546"/>
      <c r="B307" s="546"/>
      <c r="C307" s="546"/>
      <c r="D307" s="546"/>
      <c r="E307" s="546"/>
      <c r="F307" s="546"/>
      <c r="G307" s="112"/>
      <c r="H307" s="112"/>
      <c r="I307" s="112"/>
    </row>
    <row r="308" spans="1:10" s="111" customFormat="1" ht="14.25" customHeight="1" x14ac:dyDescent="0.25">
      <c r="A308" s="546"/>
      <c r="B308" s="546"/>
      <c r="C308" s="546"/>
      <c r="D308" s="546"/>
      <c r="E308" s="546"/>
      <c r="F308" s="546"/>
      <c r="G308" s="112"/>
      <c r="H308" s="112"/>
      <c r="I308" s="112"/>
      <c r="J308" s="111" t="s">
        <v>318</v>
      </c>
    </row>
    <row r="309" spans="1:10" s="111" customFormat="1" ht="14.25" customHeight="1" x14ac:dyDescent="0.25">
      <c r="A309" s="112"/>
      <c r="B309" s="112"/>
      <c r="C309" s="112"/>
      <c r="D309" s="112"/>
      <c r="E309" s="112"/>
      <c r="F309" s="112"/>
      <c r="G309" s="112"/>
      <c r="H309" s="112"/>
      <c r="I309" s="112"/>
    </row>
    <row r="310" spans="1:10" s="111" customFormat="1" ht="14.25" customHeight="1" x14ac:dyDescent="0.2">
      <c r="A310" s="545" t="s">
        <v>407</v>
      </c>
      <c r="B310" s="546"/>
      <c r="C310" s="546"/>
      <c r="D310" s="546"/>
      <c r="E310" s="546"/>
      <c r="F310" s="546"/>
      <c r="G310" s="118"/>
      <c r="H310" s="118"/>
      <c r="I310" s="118"/>
    </row>
    <row r="311" spans="1:10" s="111" customFormat="1" ht="14.25" customHeight="1" x14ac:dyDescent="0.2">
      <c r="A311" s="546"/>
      <c r="B311" s="546"/>
      <c r="C311" s="546"/>
      <c r="D311" s="546"/>
      <c r="E311" s="546"/>
      <c r="F311" s="546"/>
      <c r="G311" s="118"/>
      <c r="H311" s="118"/>
      <c r="I311" s="118"/>
    </row>
    <row r="312" spans="1:10" s="111" customFormat="1" ht="14.25" customHeight="1" x14ac:dyDescent="0.2">
      <c r="A312" s="546"/>
      <c r="B312" s="546"/>
      <c r="C312" s="546"/>
      <c r="D312" s="546"/>
      <c r="E312" s="546"/>
      <c r="F312" s="546"/>
      <c r="G312" s="118"/>
      <c r="H312" s="118"/>
      <c r="I312" s="118"/>
    </row>
    <row r="313" spans="1:10" s="111" customFormat="1" ht="14.25" customHeight="1" x14ac:dyDescent="0.2">
      <c r="A313" s="546"/>
      <c r="B313" s="546"/>
      <c r="C313" s="546"/>
      <c r="D313" s="546"/>
      <c r="E313" s="546"/>
      <c r="F313" s="546"/>
      <c r="G313" s="118"/>
      <c r="H313" s="118"/>
      <c r="I313" s="118"/>
    </row>
    <row r="314" spans="1:10" s="111" customFormat="1" ht="14.25" customHeight="1" x14ac:dyDescent="0.25">
      <c r="A314" s="112"/>
      <c r="B314" s="112"/>
      <c r="C314" s="112"/>
      <c r="D314" s="112"/>
      <c r="E314" s="112"/>
      <c r="F314" s="112"/>
      <c r="G314" s="112"/>
      <c r="H314" s="112"/>
      <c r="I314" s="112"/>
    </row>
    <row r="315" spans="1:10" ht="15.75" customHeight="1" x14ac:dyDescent="0.25">
      <c r="A315" s="116" t="s">
        <v>1245</v>
      </c>
      <c r="B315" s="116"/>
      <c r="C315" s="116"/>
      <c r="D315" s="116"/>
      <c r="E315" s="116"/>
      <c r="F315" s="116"/>
      <c r="G315" s="116"/>
      <c r="H315" s="116"/>
      <c r="I315" s="116"/>
    </row>
    <row r="316" spans="1:10" s="111" customFormat="1" ht="14.25" customHeight="1" x14ac:dyDescent="0.25">
      <c r="A316" s="114"/>
      <c r="B316" s="114"/>
      <c r="C316" s="114"/>
      <c r="D316" s="114"/>
      <c r="E316" s="114"/>
      <c r="F316" s="114"/>
      <c r="G316" s="114"/>
      <c r="H316" s="114"/>
      <c r="I316" s="114"/>
    </row>
    <row r="317" spans="1:10" s="111" customFormat="1" ht="14.25" customHeight="1" x14ac:dyDescent="0.2">
      <c r="A317" s="551" t="s">
        <v>408</v>
      </c>
      <c r="B317" s="551"/>
      <c r="C317" s="551"/>
      <c r="D317" s="551"/>
      <c r="E317" s="551"/>
      <c r="F317" s="551"/>
      <c r="G317" s="113"/>
      <c r="H317" s="113"/>
      <c r="I317" s="113"/>
    </row>
    <row r="318" spans="1:10" s="111" customFormat="1" ht="14.25" customHeight="1" x14ac:dyDescent="0.2">
      <c r="A318" s="551"/>
      <c r="B318" s="551"/>
      <c r="C318" s="551"/>
      <c r="D318" s="551"/>
      <c r="E318" s="551"/>
      <c r="F318" s="551"/>
      <c r="G318" s="113"/>
      <c r="H318" s="113"/>
      <c r="I318" s="113"/>
    </row>
    <row r="319" spans="1:10" s="111" customFormat="1" ht="14.25" customHeight="1" x14ac:dyDescent="0.2">
      <c r="A319" s="551"/>
      <c r="B319" s="551"/>
      <c r="C319" s="551"/>
      <c r="D319" s="551"/>
      <c r="E319" s="551"/>
      <c r="F319" s="551"/>
      <c r="G319" s="113"/>
      <c r="H319" s="113"/>
      <c r="I319" s="113"/>
    </row>
    <row r="320" spans="1:10" s="111" customFormat="1" ht="14.25" customHeight="1" x14ac:dyDescent="0.2">
      <c r="A320" s="2"/>
      <c r="B320" s="2"/>
      <c r="C320" s="2"/>
      <c r="D320" s="2"/>
      <c r="E320" s="2"/>
      <c r="F320" s="2"/>
      <c r="G320" s="113"/>
      <c r="H320" s="113"/>
      <c r="I320" s="113"/>
    </row>
    <row r="321" spans="1:9" s="111" customFormat="1" ht="14.25" customHeight="1" x14ac:dyDescent="0.25">
      <c r="A321" s="545" t="s">
        <v>1019</v>
      </c>
      <c r="B321" s="546"/>
      <c r="C321" s="546"/>
      <c r="D321" s="546"/>
      <c r="E321" s="546"/>
      <c r="F321" s="546"/>
      <c r="G321" s="112"/>
      <c r="H321" s="112"/>
      <c r="I321" s="112"/>
    </row>
    <row r="322" spans="1:9" s="111" customFormat="1" ht="14.25" customHeight="1" x14ac:dyDescent="0.25">
      <c r="A322" s="546"/>
      <c r="B322" s="546"/>
      <c r="C322" s="546"/>
      <c r="D322" s="546"/>
      <c r="E322" s="546"/>
      <c r="F322" s="546"/>
      <c r="G322" s="112"/>
      <c r="H322" s="112"/>
      <c r="I322" s="112"/>
    </row>
    <row r="323" spans="1:9" s="111" customFormat="1" ht="14.25" customHeight="1" x14ac:dyDescent="0.25">
      <c r="A323" s="112"/>
      <c r="B323" s="112"/>
      <c r="C323" s="112"/>
      <c r="D323" s="112"/>
      <c r="E323" s="112"/>
      <c r="F323" s="112"/>
      <c r="G323" s="112"/>
      <c r="H323" s="112"/>
      <c r="I323" s="112"/>
    </row>
    <row r="324" spans="1:9" s="111" customFormat="1" ht="14.25" customHeight="1" x14ac:dyDescent="0.25">
      <c r="A324" s="551" t="s">
        <v>409</v>
      </c>
      <c r="B324" s="551"/>
      <c r="C324" s="551"/>
      <c r="D324" s="551"/>
      <c r="E324" s="551"/>
      <c r="F324" s="551"/>
      <c r="G324" s="112"/>
      <c r="H324" s="112"/>
      <c r="I324" s="112"/>
    </row>
    <row r="325" spans="1:9" s="111" customFormat="1" ht="14.25" customHeight="1" x14ac:dyDescent="0.25">
      <c r="A325" s="551"/>
      <c r="B325" s="551"/>
      <c r="C325" s="551"/>
      <c r="D325" s="551"/>
      <c r="E325" s="551"/>
      <c r="F325" s="551"/>
      <c r="G325" s="112"/>
      <c r="H325" s="112"/>
      <c r="I325" s="112"/>
    </row>
    <row r="326" spans="1:9" s="111" customFormat="1" ht="14.25" customHeight="1" x14ac:dyDescent="0.25">
      <c r="A326" s="551"/>
      <c r="B326" s="551"/>
      <c r="C326" s="551"/>
      <c r="D326" s="551"/>
      <c r="E326" s="551"/>
      <c r="F326" s="551"/>
      <c r="G326" s="112"/>
      <c r="H326" s="112"/>
      <c r="I326" s="112"/>
    </row>
    <row r="327" spans="1:9" s="111" customFormat="1" ht="14.25" customHeight="1" x14ac:dyDescent="0.2">
      <c r="A327" s="2"/>
      <c r="B327" s="2"/>
      <c r="C327" s="2"/>
      <c r="D327" s="2"/>
      <c r="E327" s="2"/>
      <c r="F327" s="2"/>
      <c r="G327" s="118"/>
      <c r="H327" s="118"/>
      <c r="I327" s="118"/>
    </row>
    <row r="328" spans="1:9" ht="15.75" hidden="1" customHeight="1" x14ac:dyDescent="0.25">
      <c r="A328" s="116" t="s">
        <v>1246</v>
      </c>
      <c r="B328" s="116"/>
      <c r="C328" s="116"/>
      <c r="D328" s="116"/>
      <c r="E328" s="116"/>
      <c r="F328" s="116"/>
      <c r="G328" s="116"/>
      <c r="H328" s="116"/>
      <c r="I328" s="116"/>
    </row>
    <row r="329" spans="1:9" s="111" customFormat="1" ht="14.25" hidden="1" customHeight="1" x14ac:dyDescent="0.25">
      <c r="A329" s="114"/>
      <c r="B329" s="114"/>
      <c r="C329" s="114"/>
      <c r="D329" s="114"/>
      <c r="E329" s="114"/>
      <c r="F329" s="114"/>
      <c r="G329" s="114"/>
      <c r="H329" s="114"/>
      <c r="I329" s="114"/>
    </row>
    <row r="330" spans="1:9" s="111" customFormat="1" ht="14.25" hidden="1" customHeight="1" x14ac:dyDescent="0.25">
      <c r="A330" s="545" t="s">
        <v>410</v>
      </c>
      <c r="B330" s="546"/>
      <c r="C330" s="546"/>
      <c r="D330" s="546"/>
      <c r="E330" s="546"/>
      <c r="F330" s="546"/>
      <c r="G330" s="112"/>
      <c r="H330" s="112"/>
      <c r="I330" s="112"/>
    </row>
    <row r="331" spans="1:9" s="111" customFormat="1" ht="14.25" hidden="1" customHeight="1" x14ac:dyDescent="0.25">
      <c r="A331" s="546"/>
      <c r="B331" s="546"/>
      <c r="C331" s="546"/>
      <c r="D331" s="546"/>
      <c r="E331" s="546"/>
      <c r="F331" s="546"/>
      <c r="G331" s="112"/>
      <c r="H331" s="112"/>
      <c r="I331" s="112"/>
    </row>
    <row r="332" spans="1:9" s="111" customFormat="1" ht="14.25" hidden="1" customHeight="1" x14ac:dyDescent="0.25">
      <c r="A332" s="546"/>
      <c r="B332" s="546"/>
      <c r="C332" s="546"/>
      <c r="D332" s="546"/>
      <c r="E332" s="546"/>
      <c r="F332" s="546"/>
      <c r="G332" s="112"/>
      <c r="H332" s="112"/>
      <c r="I332" s="112"/>
    </row>
    <row r="333" spans="1:9" s="111" customFormat="1" ht="14.25" customHeight="1" x14ac:dyDescent="0.25">
      <c r="A333" s="112"/>
      <c r="B333" s="112"/>
      <c r="C333" s="112"/>
      <c r="D333" s="112"/>
      <c r="E333" s="112"/>
      <c r="F333" s="112"/>
      <c r="G333" s="112"/>
      <c r="H333" s="112"/>
      <c r="I333" s="112"/>
    </row>
    <row r="334" spans="1:9" ht="15.75" customHeight="1" x14ac:dyDescent="0.25">
      <c r="A334" s="116" t="s">
        <v>1272</v>
      </c>
      <c r="B334" s="116"/>
      <c r="C334" s="116"/>
      <c r="D334" s="116"/>
      <c r="E334" s="116"/>
      <c r="F334" s="116"/>
      <c r="G334" s="116"/>
      <c r="H334" s="116"/>
      <c r="I334" s="116"/>
    </row>
    <row r="335" spans="1:9" s="111" customFormat="1" ht="14.25" customHeight="1" x14ac:dyDescent="0.25">
      <c r="A335" s="114"/>
      <c r="B335" s="114"/>
      <c r="C335" s="114"/>
      <c r="D335" s="114"/>
      <c r="E335" s="114"/>
      <c r="F335" s="114"/>
      <c r="G335" s="114"/>
      <c r="H335" s="114"/>
      <c r="I335" s="114"/>
    </row>
    <row r="336" spans="1:9" s="111" customFormat="1" ht="14.25" customHeight="1" x14ac:dyDescent="0.25">
      <c r="A336" s="545" t="s">
        <v>1018</v>
      </c>
      <c r="B336" s="546"/>
      <c r="C336" s="546"/>
      <c r="D336" s="546"/>
      <c r="E336" s="546"/>
      <c r="F336" s="546"/>
      <c r="G336" s="112"/>
      <c r="H336" s="112"/>
      <c r="I336" s="112"/>
    </row>
    <row r="337" spans="1:9" s="111" customFormat="1" ht="14.25" customHeight="1" x14ac:dyDescent="0.25">
      <c r="A337" s="546"/>
      <c r="B337" s="546"/>
      <c r="C337" s="546"/>
      <c r="D337" s="546"/>
      <c r="E337" s="546"/>
      <c r="F337" s="546"/>
      <c r="G337" s="112"/>
      <c r="H337" s="112"/>
      <c r="I337" s="112"/>
    </row>
    <row r="338" spans="1:9" s="111" customFormat="1" ht="14.25" customHeight="1" x14ac:dyDescent="0.25">
      <c r="A338" s="112"/>
      <c r="B338" s="112"/>
      <c r="C338" s="112"/>
      <c r="D338" s="112"/>
      <c r="E338" s="112"/>
      <c r="F338" s="112"/>
      <c r="G338" s="112"/>
      <c r="H338" s="112"/>
      <c r="I338" s="112"/>
    </row>
    <row r="339" spans="1:9" s="111" customFormat="1" ht="14.25" customHeight="1" x14ac:dyDescent="0.25">
      <c r="A339" s="545" t="s">
        <v>1281</v>
      </c>
      <c r="B339" s="546"/>
      <c r="C339" s="546"/>
      <c r="D339" s="546"/>
      <c r="E339" s="546"/>
      <c r="F339" s="546"/>
      <c r="G339" s="112"/>
      <c r="H339" s="112"/>
      <c r="I339" s="112"/>
    </row>
    <row r="340" spans="1:9" s="111" customFormat="1" ht="22.5" customHeight="1" x14ac:dyDescent="0.25">
      <c r="A340" s="546"/>
      <c r="B340" s="546"/>
      <c r="C340" s="546"/>
      <c r="D340" s="546"/>
      <c r="E340" s="546"/>
      <c r="F340" s="546"/>
      <c r="G340" s="112"/>
      <c r="H340" s="112"/>
      <c r="I340" s="112"/>
    </row>
    <row r="341" spans="1:9" s="111" customFormat="1" ht="12" customHeight="1" x14ac:dyDescent="0.25">
      <c r="A341" s="374"/>
      <c r="B341" s="374"/>
      <c r="C341" s="374"/>
      <c r="D341" s="374"/>
      <c r="E341" s="374"/>
      <c r="F341" s="374"/>
      <c r="G341" s="112"/>
      <c r="H341" s="112"/>
      <c r="I341" s="112"/>
    </row>
    <row r="342" spans="1:9" s="111" customFormat="1" ht="21" customHeight="1" x14ac:dyDescent="0.25">
      <c r="A342" s="545" t="s">
        <v>1282</v>
      </c>
      <c r="B342" s="546"/>
      <c r="C342" s="546"/>
      <c r="D342" s="546"/>
      <c r="E342" s="546"/>
      <c r="F342" s="546"/>
      <c r="G342" s="112"/>
      <c r="H342" s="112"/>
      <c r="I342" s="112"/>
    </row>
    <row r="343" spans="1:9" s="111" customFormat="1" ht="14.25" customHeight="1" x14ac:dyDescent="0.25">
      <c r="A343" s="112"/>
      <c r="B343" s="112"/>
      <c r="C343" s="112"/>
      <c r="D343" s="112"/>
      <c r="E343" s="112"/>
      <c r="F343" s="112"/>
      <c r="G343" s="112"/>
      <c r="H343" s="112"/>
      <c r="I343" s="112"/>
    </row>
    <row r="344" spans="1:9" ht="15.75" customHeight="1" x14ac:dyDescent="0.25">
      <c r="A344" s="117" t="s">
        <v>1273</v>
      </c>
      <c r="B344" s="116"/>
      <c r="C344" s="116"/>
      <c r="D344" s="116"/>
      <c r="E344" s="116"/>
      <c r="F344" s="116"/>
      <c r="G344" s="116"/>
      <c r="H344" s="116"/>
      <c r="I344" s="116"/>
    </row>
    <row r="345" spans="1:9" s="111" customFormat="1" ht="14.25" customHeight="1" x14ac:dyDescent="0.25">
      <c r="A345" s="115"/>
      <c r="B345" s="114"/>
      <c r="C345" s="114"/>
      <c r="D345" s="114"/>
      <c r="E345" s="114"/>
      <c r="F345" s="114"/>
      <c r="G345" s="114"/>
      <c r="H345" s="114"/>
      <c r="I345" s="114"/>
    </row>
    <row r="346" spans="1:9" s="6" customFormat="1" ht="14.25" customHeight="1" x14ac:dyDescent="0.2">
      <c r="A346" s="552" t="s">
        <v>411</v>
      </c>
      <c r="B346" s="546"/>
      <c r="C346" s="546"/>
      <c r="D346" s="546"/>
      <c r="E346" s="546"/>
      <c r="F346" s="546"/>
      <c r="G346" s="113"/>
      <c r="H346" s="113"/>
      <c r="I346" s="113"/>
    </row>
    <row r="347" spans="1:9" s="111" customFormat="1" ht="14.25" customHeight="1" x14ac:dyDescent="0.25">
      <c r="A347" s="546"/>
      <c r="B347" s="546"/>
      <c r="C347" s="546"/>
      <c r="D347" s="546"/>
      <c r="E347" s="546"/>
      <c r="F347" s="546"/>
      <c r="G347" s="112"/>
      <c r="H347" s="112"/>
      <c r="I347" s="112"/>
    </row>
    <row r="349" spans="1:9" ht="12.75" customHeight="1" x14ac:dyDescent="0.25">
      <c r="A349" s="117" t="s">
        <v>1274</v>
      </c>
    </row>
    <row r="351" spans="1:9" ht="12.75" customHeight="1" x14ac:dyDescent="0.2">
      <c r="A351" s="544" t="s">
        <v>1141</v>
      </c>
      <c r="B351" s="544"/>
      <c r="C351" s="544"/>
      <c r="D351" s="544"/>
      <c r="E351" s="544"/>
      <c r="F351" s="544"/>
    </row>
    <row r="352" spans="1:9" ht="12.75" customHeight="1" x14ac:dyDescent="0.2">
      <c r="A352" s="544"/>
      <c r="B352" s="544"/>
      <c r="C352" s="544"/>
      <c r="D352" s="544"/>
      <c r="E352" s="544"/>
      <c r="F352" s="544"/>
    </row>
    <row r="353" spans="1:6" ht="15" customHeight="1" x14ac:dyDescent="0.2">
      <c r="A353" s="544"/>
      <c r="B353" s="544"/>
      <c r="C353" s="544"/>
      <c r="D353" s="544"/>
      <c r="E353" s="544"/>
      <c r="F353" s="544"/>
    </row>
  </sheetData>
  <mergeCells count="80">
    <mergeCell ref="A10:F12"/>
    <mergeCell ref="A18:F19"/>
    <mergeCell ref="A28:F35"/>
    <mergeCell ref="A55:F55"/>
    <mergeCell ref="A39:F42"/>
    <mergeCell ref="A23:F24"/>
    <mergeCell ref="A46:F47"/>
    <mergeCell ref="A51:F51"/>
    <mergeCell ref="A59:F64"/>
    <mergeCell ref="A67:F71"/>
    <mergeCell ref="A217:D217"/>
    <mergeCell ref="A202:F207"/>
    <mergeCell ref="A196:F198"/>
    <mergeCell ref="A171:F172"/>
    <mergeCell ref="A193:F194"/>
    <mergeCell ref="A77:F80"/>
    <mergeCell ref="A92:F93"/>
    <mergeCell ref="A74:F74"/>
    <mergeCell ref="A120:F121"/>
    <mergeCell ref="A115:F116"/>
    <mergeCell ref="A109:F111"/>
    <mergeCell ref="A185:F186"/>
    <mergeCell ref="A83:F85"/>
    <mergeCell ref="A95:F96"/>
    <mergeCell ref="A98:F100"/>
    <mergeCell ref="A155:F160"/>
    <mergeCell ref="A138:F139"/>
    <mergeCell ref="A125:F129"/>
    <mergeCell ref="A188:F191"/>
    <mergeCell ref="A177:F178"/>
    <mergeCell ref="A143:F145"/>
    <mergeCell ref="A164:F166"/>
    <mergeCell ref="A133:F134"/>
    <mergeCell ref="A168:F169"/>
    <mergeCell ref="A174:F175"/>
    <mergeCell ref="A182:F183"/>
    <mergeCell ref="A102:F105"/>
    <mergeCell ref="A149:F151"/>
    <mergeCell ref="A282:F282"/>
    <mergeCell ref="A211:F213"/>
    <mergeCell ref="A218:D218"/>
    <mergeCell ref="F219:H219"/>
    <mergeCell ref="F217:H217"/>
    <mergeCell ref="A236:F238"/>
    <mergeCell ref="F223:H223"/>
    <mergeCell ref="F218:H218"/>
    <mergeCell ref="A267:F269"/>
    <mergeCell ref="F239:H239"/>
    <mergeCell ref="A259:F261"/>
    <mergeCell ref="F222:H222"/>
    <mergeCell ref="A222:D222"/>
    <mergeCell ref="A249:F253"/>
    <mergeCell ref="A240:D240"/>
    <mergeCell ref="A239:D239"/>
    <mergeCell ref="A275:F278"/>
    <mergeCell ref="A263:F263"/>
    <mergeCell ref="A255:F257"/>
    <mergeCell ref="F220:H220"/>
    <mergeCell ref="F240:H240"/>
    <mergeCell ref="A247:B247"/>
    <mergeCell ref="A244:F245"/>
    <mergeCell ref="A223:D223"/>
    <mergeCell ref="A228:F231"/>
    <mergeCell ref="A233:F234"/>
    <mergeCell ref="A351:F353"/>
    <mergeCell ref="A286:F288"/>
    <mergeCell ref="A303:E303"/>
    <mergeCell ref="A300:F301"/>
    <mergeCell ref="A290:F291"/>
    <mergeCell ref="A336:F337"/>
    <mergeCell ref="A330:F332"/>
    <mergeCell ref="A324:F326"/>
    <mergeCell ref="A321:F322"/>
    <mergeCell ref="A339:F340"/>
    <mergeCell ref="A346:F347"/>
    <mergeCell ref="A295:F296"/>
    <mergeCell ref="A310:F313"/>
    <mergeCell ref="A305:F308"/>
    <mergeCell ref="A317:F319"/>
    <mergeCell ref="A342:F342"/>
  </mergeCells>
  <phoneticPr fontId="66" type="noConversion"/>
  <pageMargins left="0.70866141732283472" right="0.70866141732283472" top="0.74803149606299213" bottom="0.74803149606299213" header="0.31496062992125984" footer="0.31496062992125984"/>
  <pageSetup paperSize="9" scale="54" orientation="portrait" r:id="rId1"/>
  <headerFooter>
    <oddFooter>&amp;C&amp;P</oddFooter>
  </headerFooter>
  <rowBreaks count="5" manualBreakCount="5">
    <brk id="87" max="5" man="1"/>
    <brk id="140" max="5" man="1"/>
    <brk id="179" max="5" man="1"/>
    <brk id="241" max="5" man="1"/>
    <brk id="30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Data</vt:lpstr>
      <vt:lpstr>Header</vt:lpstr>
      <vt:lpstr>Index Page</vt:lpstr>
      <vt:lpstr>Statement of Responsibility</vt:lpstr>
      <vt:lpstr>Comprehensive Income</vt:lpstr>
      <vt:lpstr>Equity</vt:lpstr>
      <vt:lpstr>Financial Position</vt:lpstr>
      <vt:lpstr>Cashflow Statement</vt:lpstr>
      <vt:lpstr>Notes 1</vt:lpstr>
      <vt:lpstr>Notes</vt:lpstr>
      <vt:lpstr>Cashflow workpaper</vt:lpstr>
      <vt:lpstr>Codes allocation</vt:lpstr>
      <vt:lpstr>Payroll recon</vt:lpstr>
      <vt:lpstr>ESLData</vt:lpstr>
      <vt:lpstr>'Cashflow Statement'!Print_Area</vt:lpstr>
      <vt:lpstr>'Cashflow workpaper'!Print_Area</vt:lpstr>
      <vt:lpstr>'Comprehensive Income'!Print_Area</vt:lpstr>
      <vt:lpstr>Equity!Print_Area</vt:lpstr>
      <vt:lpstr>'Financial Position'!Print_Area</vt:lpstr>
      <vt:lpstr>Header!Print_Area</vt:lpstr>
      <vt:lpstr>'Index Page'!Print_Area</vt:lpstr>
      <vt:lpstr>Notes!Print_Area</vt:lpstr>
      <vt:lpstr>'Notes 1'!Print_Area</vt:lpstr>
      <vt:lpstr>'Statement of Responsibility'!Print_Area</vt:lpstr>
      <vt:lpstr>'Notes 1'!Print_Titles</vt:lpstr>
    </vt:vector>
  </TitlesOfParts>
  <Manager>ScottM</Manager>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 Differential</dc:title>
  <dc:subject>Kiwi Park</dc:subject>
  <dc:creator>Dennis Cribb</dc:creator>
  <cp:keywords>Finance</cp:keywords>
  <cp:lastModifiedBy>Bridget Lamphee</cp:lastModifiedBy>
  <cp:lastPrinted>2019-05-21T20:19:28Z</cp:lastPrinted>
  <dcterms:created xsi:type="dcterms:W3CDTF">2002-09-06T23:35:01Z</dcterms:created>
  <dcterms:modified xsi:type="dcterms:W3CDTF">2019-05-21T20:22:08Z</dcterms:modified>
  <cp:category>Finance</cp:category>
</cp:coreProperties>
</file>