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Senior Management Team\Board of Trustees\Board Meeting Documentation\3 June 22 2018\"/>
    </mc:Choice>
  </mc:AlternateContent>
  <bookViews>
    <workbookView xWindow="0" yWindow="0" windowWidth="28800" windowHeight="12300" tabRatio="729" firstSheet="1" activeTab="1"/>
  </bookViews>
  <sheets>
    <sheet name="Data" sheetId="7" state="hidden" r:id="rId1"/>
    <sheet name="Header" sheetId="8" r:id="rId2"/>
    <sheet name="Index Page" sheetId="18" r:id="rId3"/>
    <sheet name="Statement of Responsibility" sheetId="19" r:id="rId4"/>
    <sheet name="Comprehensive Income" sheetId="1" r:id="rId5"/>
    <sheet name="Equity" sheetId="4" r:id="rId6"/>
    <sheet name="Financial Position" sheetId="3" r:id="rId7"/>
    <sheet name="Cashflow Statement" sheetId="20" r:id="rId8"/>
    <sheet name="Notes 1" sheetId="12" state="hidden" r:id="rId9"/>
    <sheet name="Notes" sheetId="5" state="hidden" r:id="rId10"/>
    <sheet name="Cashflow workpaper" sheetId="22" state="hidden" r:id="rId11"/>
    <sheet name="Codes allocation" sheetId="26" state="hidden" r:id="rId12"/>
    <sheet name="Payroll recon" sheetId="17" state="hidden" r:id="rId13"/>
    <sheet name="ESLData" sheetId="14" state="hidden" r:id="rId14"/>
  </sheets>
  <externalReferences>
    <externalReference r:id="rId15"/>
    <externalReference r:id="rId16"/>
    <externalReference r:id="rId17"/>
  </externalReferences>
  <definedNames>
    <definedName name="_xlnm._FilterDatabase" localSheetId="13" hidden="1">ESLData!$A$1:$J$1016</definedName>
    <definedName name="_xlnm._FilterDatabase" localSheetId="9" hidden="1">Notes!$F$187:$J$196</definedName>
    <definedName name="FY">[1]Inputs!$B$3</definedName>
    <definedName name="_xlnm.Print_Area" localSheetId="7">'Cashflow Statement'!$A$1:$F$56</definedName>
    <definedName name="_xlnm.Print_Area" localSheetId="10">'Cashflow workpaper'!$A$1:$F$121</definedName>
    <definedName name="_xlnm.Print_Area" localSheetId="4">'Comprehensive Income'!$A$1:$E$41</definedName>
    <definedName name="_xlnm.Print_Area" localSheetId="5">Equity!$A$1:$E$38</definedName>
    <definedName name="_xlnm.Print_Area" localSheetId="6">'Financial Position'!$A$1:$E$49</definedName>
    <definedName name="_xlnm.Print_Area" localSheetId="1">Header!$A$1:$H$41</definedName>
    <definedName name="_xlnm.Print_Area" localSheetId="2">'Index Page'!$B$2:$K$47</definedName>
    <definedName name="_xlnm.Print_Area" localSheetId="9">Notes!$A$1:$I$494</definedName>
    <definedName name="_xlnm.Print_Area" localSheetId="8">'Notes 1'!$A$2:$F$349</definedName>
    <definedName name="_xlnm.Print_Area" localSheetId="3">'Statement of Responsibility'!$B$2:$K$50</definedName>
    <definedName name="_xlnm.Print_Titles" localSheetId="8">'Notes 1'!$2:$4</definedName>
    <definedName name="Z_16158AC0_BDC0_11D7_BABA_AD30328A5118_.wvu.PrintArea" localSheetId="4" hidden="1">'Comprehensive Income'!$A$1:$F$41</definedName>
    <definedName name="Z_16158AC0_BDC0_11D7_BABA_AD30328A5118_.wvu.PrintArea" localSheetId="5" hidden="1">Equity!$A$1:$F$49</definedName>
    <definedName name="Z_16158AC0_BDC0_11D7_BABA_AD30328A5118_.wvu.PrintArea" localSheetId="6" hidden="1">'Financial Position'!$A$2:$E$58</definedName>
    <definedName name="Z_16158AC0_BDC0_11D7_BABA_AD30328A5118_.wvu.PrintArea" localSheetId="9" hidden="1">Notes!$1:$1048576</definedName>
    <definedName name="Z_2F1C2500_C7E9_11D7_BAB9_00065B3658C6_.wvu.PrintArea" localSheetId="4" hidden="1">'Comprehensive Income'!$A$1:$F$41</definedName>
    <definedName name="Z_2F1C2500_C7E9_11D7_BAB9_00065B3658C6_.wvu.PrintArea" localSheetId="5" hidden="1">Equity!$A$1:$F$49</definedName>
    <definedName name="Z_2F1C2500_C7E9_11D7_BAB9_00065B3658C6_.wvu.PrintArea" localSheetId="6" hidden="1">'Financial Position'!$A$2:$E$58</definedName>
    <definedName name="Z_2F1C2500_C7E9_11D7_BAB9_00065B3658C6_.wvu.PrintArea" localSheetId="9" hidden="1">Notes!$1:$1048576</definedName>
    <definedName name="Z_2F1C2502_C7E9_11D7_BAB9_00065B3658C6_.wvu.PrintArea" localSheetId="7" hidden="1">'Cashflow Statement'!$B$1:$F$58</definedName>
    <definedName name="Z_D97F6880_C1EB_11D7_BABA_97F470F7481E_.wvu.PrintArea" localSheetId="7" hidden="1">'Cashflow Statement'!$B$1:$F$58</definedName>
  </definedNames>
  <calcPr calcId="162913"/>
  <customWorkbookViews>
    <customWorkbookView name="Bridget Hesketh - Personal View" guid="{16158AC0-BDC0-11D7-BABA-AD30328A5118}" mergeInterval="0" personalView="1" maximized="1" windowWidth="1020" windowHeight="606" tabRatio="729" activeSheetId="5"/>
    <customWorkbookView name="Steve Kelsen MoE - Personal View" guid="{2F1C2500-C7E9-11D7-BAB9-00065B3658C6}" mergeInterval="0" personalView="1" maximized="1" windowWidth="1020" windowHeight="606" tabRatio="729" activeSheetId="2"/>
  </customWorkbookViews>
</workbook>
</file>

<file path=xl/calcChain.xml><?xml version="1.0" encoding="utf-8"?>
<calcChain xmlns="http://schemas.openxmlformats.org/spreadsheetml/2006/main">
  <c r="C103" i="22" l="1"/>
  <c r="H255" i="5" l="1"/>
  <c r="I255" i="5" s="1"/>
  <c r="H254" i="5"/>
  <c r="I254" i="5" s="1"/>
  <c r="H253" i="5"/>
  <c r="I253" i="5" s="1"/>
  <c r="H252" i="5"/>
  <c r="I252" i="5" s="1"/>
  <c r="H251" i="5"/>
  <c r="I251" i="5" s="1"/>
  <c r="F217" i="5"/>
  <c r="F179" i="5"/>
  <c r="C102" i="22"/>
  <c r="D33" i="20" l="1"/>
  <c r="E22" i="20"/>
  <c r="I66" i="17" l="1"/>
  <c r="H66" i="17"/>
  <c r="I65" i="17"/>
  <c r="H65" i="17"/>
  <c r="I64" i="17"/>
  <c r="H64" i="17"/>
  <c r="I62" i="17"/>
  <c r="H62" i="17"/>
  <c r="I61" i="17"/>
  <c r="H61" i="17"/>
  <c r="I60" i="17"/>
  <c r="H60" i="17"/>
  <c r="I58" i="17"/>
  <c r="H58" i="17"/>
  <c r="I57" i="17"/>
  <c r="H57" i="17"/>
  <c r="I56" i="17"/>
  <c r="H56" i="17"/>
  <c r="I55" i="17"/>
  <c r="H55" i="17"/>
  <c r="I54" i="17"/>
  <c r="H54" i="17"/>
  <c r="I53" i="17"/>
  <c r="H53" i="17"/>
  <c r="I52" i="17"/>
  <c r="H52" i="17"/>
  <c r="I51" i="17"/>
  <c r="H51" i="17"/>
  <c r="I50" i="17"/>
  <c r="H50" i="17"/>
  <c r="I49" i="17"/>
  <c r="H49" i="17"/>
  <c r="I48" i="17"/>
  <c r="H48" i="17"/>
  <c r="I47" i="17"/>
  <c r="H47" i="17"/>
  <c r="I46" i="17"/>
  <c r="H46" i="17"/>
  <c r="I45" i="17"/>
  <c r="H45" i="17"/>
  <c r="I43" i="17"/>
  <c r="H43" i="17"/>
  <c r="I41" i="17"/>
  <c r="H41" i="17"/>
  <c r="I39" i="17"/>
  <c r="H39" i="17"/>
  <c r="I38" i="17"/>
  <c r="H38" i="17"/>
  <c r="I35" i="17"/>
  <c r="H35" i="17"/>
  <c r="I34" i="17"/>
  <c r="H34" i="17"/>
  <c r="I33" i="17"/>
  <c r="H33" i="17"/>
  <c r="I32" i="17"/>
  <c r="H32" i="17"/>
  <c r="I31" i="17"/>
  <c r="H31" i="17"/>
  <c r="I30" i="17"/>
  <c r="H30" i="17"/>
  <c r="I29" i="17"/>
  <c r="H29" i="17"/>
  <c r="I28" i="17"/>
  <c r="H28" i="17"/>
  <c r="I27" i="17"/>
  <c r="H27" i="17"/>
  <c r="I26" i="17"/>
  <c r="H26" i="17"/>
  <c r="I25" i="17"/>
  <c r="H25" i="17"/>
  <c r="I24" i="17"/>
  <c r="H24" i="17"/>
  <c r="I23" i="17"/>
  <c r="H23" i="17"/>
  <c r="I22" i="17"/>
  <c r="H22" i="17"/>
  <c r="I21" i="17"/>
  <c r="H21" i="17"/>
  <c r="I20" i="17"/>
  <c r="H20" i="17"/>
  <c r="I19" i="17"/>
  <c r="H19" i="17"/>
  <c r="I18" i="17"/>
  <c r="H18" i="17"/>
  <c r="I17" i="17"/>
  <c r="H17" i="17"/>
  <c r="I16" i="17"/>
  <c r="H16" i="17"/>
  <c r="I15" i="17"/>
  <c r="H15" i="17"/>
  <c r="I14" i="17"/>
  <c r="H14" i="17"/>
  <c r="I13" i="17"/>
  <c r="H13" i="17"/>
  <c r="I12" i="17"/>
  <c r="H12" i="17"/>
  <c r="I11" i="17"/>
  <c r="H11" i="17"/>
  <c r="I10" i="17"/>
  <c r="H10" i="17"/>
  <c r="I9" i="17"/>
  <c r="H9" i="17"/>
  <c r="I7" i="17"/>
  <c r="H7" i="17"/>
  <c r="H67" i="17" l="1"/>
  <c r="D53" i="22" s="1"/>
  <c r="I67" i="17"/>
  <c r="D22" i="20"/>
  <c r="F17" i="20"/>
  <c r="C4" i="17" l="1"/>
  <c r="C21" i="17"/>
  <c r="C22" i="17"/>
  <c r="C23" i="17"/>
  <c r="C24" i="17"/>
  <c r="C25" i="17"/>
  <c r="C26" i="17"/>
  <c r="C27" i="17"/>
  <c r="C28" i="17"/>
  <c r="C29" i="17"/>
  <c r="C30" i="17"/>
  <c r="C31" i="17"/>
  <c r="C32" i="17"/>
  <c r="C33" i="17"/>
  <c r="C34" i="17"/>
  <c r="C35" i="17"/>
  <c r="C36" i="17"/>
  <c r="C37" i="17"/>
  <c r="C38" i="17"/>
  <c r="C39" i="17"/>
  <c r="C40" i="17"/>
  <c r="C41" i="17"/>
  <c r="C42" i="17"/>
  <c r="C43" i="17"/>
  <c r="E81" i="17" s="1"/>
  <c r="C44" i="17"/>
  <c r="C45" i="17"/>
  <c r="C46" i="17"/>
  <c r="C47" i="17"/>
  <c r="E82" i="17" s="1"/>
  <c r="C48" i="17"/>
  <c r="C49" i="17"/>
  <c r="C50" i="17"/>
  <c r="C51" i="17"/>
  <c r="C52" i="17"/>
  <c r="C53" i="17"/>
  <c r="C54" i="17"/>
  <c r="C55" i="17"/>
  <c r="C56" i="17"/>
  <c r="C57" i="17"/>
  <c r="C58" i="17"/>
  <c r="C59" i="17"/>
  <c r="C60" i="17"/>
  <c r="C61" i="17"/>
  <c r="C62" i="17"/>
  <c r="C63" i="17"/>
  <c r="C64" i="17"/>
  <c r="E86" i="17" s="1"/>
  <c r="C65" i="17"/>
  <c r="C66" i="17"/>
  <c r="C8" i="17"/>
  <c r="C9" i="17"/>
  <c r="C10" i="17"/>
  <c r="C11" i="17"/>
  <c r="C12" i="17"/>
  <c r="C13" i="17"/>
  <c r="C14" i="17"/>
  <c r="C15" i="17"/>
  <c r="C16" i="17"/>
  <c r="C17" i="17"/>
  <c r="C18" i="17"/>
  <c r="E83" i="17" s="1"/>
  <c r="C19" i="17"/>
  <c r="C20" i="17"/>
  <c r="C7" i="17"/>
  <c r="E84" i="17"/>
  <c r="D4" i="17"/>
  <c r="D80" i="17" s="1"/>
  <c r="D77" i="22"/>
  <c r="E17" i="22"/>
  <c r="C78" i="17" l="1"/>
  <c r="E85" i="17"/>
  <c r="C6" i="17"/>
  <c r="E6" i="17" s="1"/>
  <c r="E66" i="17" s="1"/>
  <c r="E4" i="17"/>
  <c r="C67" i="17"/>
  <c r="F330" i="5" l="1"/>
  <c r="F331" i="5" l="1"/>
  <c r="C270" i="26" l="1"/>
  <c r="G707" i="26" l="1"/>
  <c r="E707" i="26"/>
  <c r="C707" i="26"/>
  <c r="G709" i="26"/>
  <c r="E709" i="26"/>
  <c r="C709" i="26"/>
  <c r="G144" i="26"/>
  <c r="G145" i="26"/>
  <c r="E144" i="26"/>
  <c r="E145" i="26"/>
  <c r="C144" i="26"/>
  <c r="C145" i="26"/>
  <c r="G222" i="26"/>
  <c r="E222" i="26"/>
  <c r="C222" i="26"/>
  <c r="G909" i="26"/>
  <c r="E909" i="26"/>
  <c r="C909" i="26"/>
  <c r="G826" i="26"/>
  <c r="E826" i="26"/>
  <c r="C826" i="26"/>
  <c r="G722" i="26"/>
  <c r="E722" i="26"/>
  <c r="C722" i="26"/>
  <c r="G703" i="26"/>
  <c r="G704" i="26"/>
  <c r="G705" i="26"/>
  <c r="G706" i="26"/>
  <c r="E703" i="26"/>
  <c r="E704" i="26"/>
  <c r="E705" i="26"/>
  <c r="E706" i="26"/>
  <c r="C703" i="26"/>
  <c r="C704" i="26"/>
  <c r="C705" i="26"/>
  <c r="C706" i="26"/>
  <c r="G181" i="26"/>
  <c r="E181" i="26"/>
  <c r="C181" i="26"/>
  <c r="G183" i="26"/>
  <c r="H185" i="26" s="1"/>
  <c r="E183" i="26"/>
  <c r="C183" i="26"/>
  <c r="G33" i="26"/>
  <c r="E33" i="26"/>
  <c r="C33" i="26"/>
  <c r="C4" i="26"/>
  <c r="E4" i="26"/>
  <c r="G4" i="26"/>
  <c r="C5" i="26"/>
  <c r="E5" i="26"/>
  <c r="G5" i="26"/>
  <c r="C6" i="26"/>
  <c r="E6" i="26"/>
  <c r="G6" i="26"/>
  <c r="C8" i="26"/>
  <c r="D8" i="26" s="1"/>
  <c r="E8" i="26"/>
  <c r="F8" i="26" s="1"/>
  <c r="G8" i="26"/>
  <c r="H8" i="26" s="1"/>
  <c r="C10" i="26"/>
  <c r="E10" i="26"/>
  <c r="G10" i="26"/>
  <c r="C11" i="26"/>
  <c r="E11" i="26"/>
  <c r="G11" i="26"/>
  <c r="C13" i="26"/>
  <c r="D13" i="26" s="1"/>
  <c r="E13" i="26"/>
  <c r="F13" i="26" s="1"/>
  <c r="G13" i="26"/>
  <c r="H13" i="26" s="1"/>
  <c r="C15" i="26"/>
  <c r="D15" i="26" s="1"/>
  <c r="E15" i="26"/>
  <c r="F15" i="26" s="1"/>
  <c r="G15" i="26"/>
  <c r="H15" i="26" s="1"/>
  <c r="C17" i="26"/>
  <c r="E17" i="26"/>
  <c r="G17" i="26"/>
  <c r="C18" i="26"/>
  <c r="E18" i="26"/>
  <c r="G18" i="26"/>
  <c r="C19" i="26"/>
  <c r="E19" i="26"/>
  <c r="G19" i="26"/>
  <c r="C20" i="26"/>
  <c r="E20" i="26"/>
  <c r="G20" i="26"/>
  <c r="C21" i="26"/>
  <c r="E21" i="26"/>
  <c r="G21" i="26"/>
  <c r="C23" i="26"/>
  <c r="D23" i="26" s="1"/>
  <c r="E23" i="26"/>
  <c r="F23" i="26" s="1"/>
  <c r="G23" i="26"/>
  <c r="H23" i="26" s="1"/>
  <c r="C25" i="26"/>
  <c r="D25" i="26" s="1"/>
  <c r="E25" i="26"/>
  <c r="F25" i="26" s="1"/>
  <c r="G25" i="26"/>
  <c r="H25" i="26" s="1"/>
  <c r="C27" i="26"/>
  <c r="E27" i="26"/>
  <c r="G27" i="26"/>
  <c r="C28" i="26"/>
  <c r="E28" i="26"/>
  <c r="G28" i="26"/>
  <c r="C29" i="26"/>
  <c r="E29" i="26"/>
  <c r="F29" i="26" s="1"/>
  <c r="G29" i="26"/>
  <c r="H29" i="26" s="1"/>
  <c r="C31" i="26"/>
  <c r="D31" i="26" s="1"/>
  <c r="E31" i="26"/>
  <c r="F31" i="26" s="1"/>
  <c r="G31" i="26"/>
  <c r="H31" i="26" s="1"/>
  <c r="C34" i="26"/>
  <c r="E34" i="26"/>
  <c r="G34" i="26"/>
  <c r="C35" i="26"/>
  <c r="E35" i="26"/>
  <c r="G35" i="26"/>
  <c r="C36" i="26"/>
  <c r="E36" i="26"/>
  <c r="G36" i="26"/>
  <c r="C37" i="26"/>
  <c r="E37" i="26"/>
  <c r="G37" i="26"/>
  <c r="C38" i="26"/>
  <c r="E38" i="26"/>
  <c r="G38" i="26"/>
  <c r="C39" i="26"/>
  <c r="E39" i="26"/>
  <c r="G39" i="26"/>
  <c r="C40" i="26"/>
  <c r="E40" i="26"/>
  <c r="G40" i="26"/>
  <c r="C44" i="26"/>
  <c r="E44" i="26"/>
  <c r="G44" i="26"/>
  <c r="C45" i="26"/>
  <c r="E45" i="26"/>
  <c r="G45" i="26"/>
  <c r="C46" i="26"/>
  <c r="E46" i="26"/>
  <c r="G46" i="26"/>
  <c r="C48" i="26"/>
  <c r="E48" i="26"/>
  <c r="G48" i="26"/>
  <c r="C49" i="26"/>
  <c r="E49" i="26"/>
  <c r="G49" i="26"/>
  <c r="C50" i="26"/>
  <c r="E50" i="26"/>
  <c r="G50" i="26"/>
  <c r="C51" i="26"/>
  <c r="E51" i="26"/>
  <c r="G51" i="26"/>
  <c r="C52" i="26"/>
  <c r="E52" i="26"/>
  <c r="G52" i="26"/>
  <c r="C54" i="26"/>
  <c r="E54" i="26"/>
  <c r="G54" i="26"/>
  <c r="C55" i="26"/>
  <c r="E55" i="26"/>
  <c r="G33" i="5" s="1"/>
  <c r="G55" i="26"/>
  <c r="C56" i="26"/>
  <c r="E56" i="26"/>
  <c r="G56" i="26"/>
  <c r="C58" i="26"/>
  <c r="E58" i="26"/>
  <c r="G58" i="26"/>
  <c r="C59" i="26"/>
  <c r="E59" i="26"/>
  <c r="G59" i="26"/>
  <c r="C60" i="26"/>
  <c r="E60" i="26"/>
  <c r="G60" i="26"/>
  <c r="C61" i="26"/>
  <c r="E61" i="26"/>
  <c r="G61" i="26"/>
  <c r="C62" i="26"/>
  <c r="E62" i="26"/>
  <c r="G62" i="26"/>
  <c r="C63" i="26"/>
  <c r="E63" i="26"/>
  <c r="G63" i="26"/>
  <c r="C64" i="26"/>
  <c r="E64" i="26"/>
  <c r="G64" i="26"/>
  <c r="C65" i="26"/>
  <c r="E65" i="26"/>
  <c r="G65" i="26"/>
  <c r="C66" i="26"/>
  <c r="E66" i="26"/>
  <c r="G66" i="26"/>
  <c r="C67" i="26"/>
  <c r="E67" i="26"/>
  <c r="G67" i="26"/>
  <c r="C68" i="26"/>
  <c r="E68" i="26"/>
  <c r="G68" i="26"/>
  <c r="C70" i="26"/>
  <c r="D70" i="26" s="1"/>
  <c r="E70" i="26"/>
  <c r="F70" i="26" s="1"/>
  <c r="G70" i="26"/>
  <c r="H70" i="26" s="1"/>
  <c r="C72" i="26"/>
  <c r="E72" i="26"/>
  <c r="G72" i="26"/>
  <c r="C73" i="26"/>
  <c r="E73" i="26"/>
  <c r="G73" i="26"/>
  <c r="C74" i="26"/>
  <c r="E74" i="26"/>
  <c r="G74" i="26"/>
  <c r="C75" i="26"/>
  <c r="E75" i="26"/>
  <c r="G75" i="26"/>
  <c r="C76" i="26"/>
  <c r="E76" i="26"/>
  <c r="G76" i="26"/>
  <c r="C77" i="26"/>
  <c r="E77" i="26"/>
  <c r="G77" i="26"/>
  <c r="C78" i="26"/>
  <c r="E78" i="26"/>
  <c r="G78" i="26"/>
  <c r="C79" i="26"/>
  <c r="E79" i="26"/>
  <c r="G79" i="26"/>
  <c r="C80" i="26"/>
  <c r="E80" i="26"/>
  <c r="G80" i="26"/>
  <c r="C81" i="26"/>
  <c r="E81" i="26"/>
  <c r="G81" i="26"/>
  <c r="C82" i="26"/>
  <c r="E82" i="26"/>
  <c r="G82" i="26"/>
  <c r="C83" i="26"/>
  <c r="E83" i="26"/>
  <c r="G83" i="26"/>
  <c r="C84" i="26"/>
  <c r="E84" i="26"/>
  <c r="G84" i="26"/>
  <c r="C85" i="26"/>
  <c r="E85" i="26"/>
  <c r="G85" i="26"/>
  <c r="C86" i="26"/>
  <c r="E86" i="26"/>
  <c r="G86" i="26"/>
  <c r="C87" i="26"/>
  <c r="E87" i="26"/>
  <c r="G87" i="26"/>
  <c r="C88" i="26"/>
  <c r="E88" i="26"/>
  <c r="G88" i="26"/>
  <c r="C89" i="26"/>
  <c r="E89" i="26"/>
  <c r="G89" i="26"/>
  <c r="C90" i="26"/>
  <c r="E90" i="26"/>
  <c r="G90" i="26"/>
  <c r="C91" i="26"/>
  <c r="E91" i="26"/>
  <c r="G91" i="26"/>
  <c r="C92" i="26"/>
  <c r="E92" i="26"/>
  <c r="G92" i="26"/>
  <c r="C93" i="26"/>
  <c r="E93" i="26"/>
  <c r="G93" i="26"/>
  <c r="C94" i="26"/>
  <c r="E94" i="26"/>
  <c r="G94" i="26"/>
  <c r="C96" i="26"/>
  <c r="E96" i="26"/>
  <c r="G96" i="26"/>
  <c r="C97" i="26"/>
  <c r="E97" i="26"/>
  <c r="G97" i="26"/>
  <c r="C98" i="26"/>
  <c r="E98" i="26"/>
  <c r="G98" i="26"/>
  <c r="C99" i="26"/>
  <c r="E99" i="26"/>
  <c r="G99" i="26"/>
  <c r="C100" i="26"/>
  <c r="E100" i="26"/>
  <c r="G100" i="26"/>
  <c r="C101" i="26"/>
  <c r="E101" i="26"/>
  <c r="G101" i="26"/>
  <c r="C102" i="26"/>
  <c r="E102" i="26"/>
  <c r="G102" i="26"/>
  <c r="C103" i="26"/>
  <c r="E103" i="26"/>
  <c r="G103" i="26"/>
  <c r="C104" i="26"/>
  <c r="E104" i="26"/>
  <c r="G104" i="26"/>
  <c r="C105" i="26"/>
  <c r="E105" i="26"/>
  <c r="G105" i="26"/>
  <c r="C106" i="26"/>
  <c r="E106" i="26"/>
  <c r="G106" i="26"/>
  <c r="C107" i="26"/>
  <c r="E107" i="26"/>
  <c r="G107" i="26"/>
  <c r="C108" i="26"/>
  <c r="E108" i="26"/>
  <c r="G108" i="26"/>
  <c r="C109" i="26"/>
  <c r="E109" i="26"/>
  <c r="G109" i="26"/>
  <c r="C110" i="26"/>
  <c r="E110" i="26"/>
  <c r="G110" i="26"/>
  <c r="C111" i="26"/>
  <c r="E111" i="26"/>
  <c r="G111" i="26"/>
  <c r="C112" i="26"/>
  <c r="E112" i="26"/>
  <c r="G112" i="26"/>
  <c r="C113" i="26"/>
  <c r="E113" i="26"/>
  <c r="G113" i="26"/>
  <c r="C114" i="26"/>
  <c r="E114" i="26"/>
  <c r="G114" i="26"/>
  <c r="C115" i="26"/>
  <c r="E115" i="26"/>
  <c r="G115" i="26"/>
  <c r="C116" i="26"/>
  <c r="E116" i="26"/>
  <c r="G116" i="26"/>
  <c r="C117" i="26"/>
  <c r="E117" i="26"/>
  <c r="G117" i="26"/>
  <c r="C118" i="26"/>
  <c r="E118" i="26"/>
  <c r="G118" i="26"/>
  <c r="C120" i="26"/>
  <c r="E120" i="26"/>
  <c r="G120" i="26"/>
  <c r="C123" i="26"/>
  <c r="E123" i="26"/>
  <c r="G123" i="26"/>
  <c r="C124" i="26"/>
  <c r="E124" i="26"/>
  <c r="G124" i="26"/>
  <c r="C125" i="26"/>
  <c r="E125" i="26"/>
  <c r="G125" i="26"/>
  <c r="C126" i="26"/>
  <c r="E126" i="26"/>
  <c r="G126" i="26"/>
  <c r="C127" i="26"/>
  <c r="E127" i="26"/>
  <c r="G127" i="26"/>
  <c r="C128" i="26"/>
  <c r="E128" i="26"/>
  <c r="G128" i="26"/>
  <c r="C129" i="26"/>
  <c r="E129" i="26"/>
  <c r="G129" i="26"/>
  <c r="C130" i="26"/>
  <c r="E130" i="26"/>
  <c r="G130" i="26"/>
  <c r="C131" i="26"/>
  <c r="E131" i="26"/>
  <c r="G131" i="26"/>
  <c r="C132" i="26"/>
  <c r="E132" i="26"/>
  <c r="G132" i="26"/>
  <c r="C133" i="26"/>
  <c r="E133" i="26"/>
  <c r="G133" i="26"/>
  <c r="C134" i="26"/>
  <c r="E134" i="26"/>
  <c r="G134" i="26"/>
  <c r="C135" i="26"/>
  <c r="E135" i="26"/>
  <c r="G135" i="26"/>
  <c r="C137" i="26"/>
  <c r="E137" i="26"/>
  <c r="G137" i="26"/>
  <c r="C138" i="26"/>
  <c r="E138" i="26"/>
  <c r="G138" i="26"/>
  <c r="C139" i="26"/>
  <c r="E139" i="26"/>
  <c r="G139" i="26"/>
  <c r="C141" i="26"/>
  <c r="E141" i="26"/>
  <c r="G141" i="26"/>
  <c r="C142" i="26"/>
  <c r="E142" i="26"/>
  <c r="G142" i="26"/>
  <c r="C143" i="26"/>
  <c r="E143" i="26"/>
  <c r="G143" i="26"/>
  <c r="C146" i="26"/>
  <c r="E146" i="26"/>
  <c r="G146" i="26"/>
  <c r="C147" i="26"/>
  <c r="E147" i="26"/>
  <c r="G147" i="26"/>
  <c r="C148" i="26"/>
  <c r="E148" i="26"/>
  <c r="G148" i="26"/>
  <c r="C149" i="26"/>
  <c r="E149" i="26"/>
  <c r="G149" i="26"/>
  <c r="C150" i="26"/>
  <c r="E150" i="26"/>
  <c r="G150" i="26"/>
  <c r="C151" i="26"/>
  <c r="E151" i="26"/>
  <c r="G151" i="26"/>
  <c r="C152" i="26"/>
  <c r="E152" i="26"/>
  <c r="G152" i="26"/>
  <c r="C154" i="26"/>
  <c r="E154" i="26"/>
  <c r="G154" i="26"/>
  <c r="C155" i="26"/>
  <c r="E155" i="26"/>
  <c r="G155" i="26"/>
  <c r="C156" i="26"/>
  <c r="E156" i="26"/>
  <c r="G156" i="26"/>
  <c r="C157" i="26"/>
  <c r="E157" i="26"/>
  <c r="G157" i="26"/>
  <c r="C159" i="26"/>
  <c r="E159" i="26"/>
  <c r="G159" i="26"/>
  <c r="C160" i="26"/>
  <c r="E160" i="26"/>
  <c r="G160" i="26"/>
  <c r="C161" i="26"/>
  <c r="E161" i="26"/>
  <c r="G161" i="26"/>
  <c r="C162" i="26"/>
  <c r="E162" i="26"/>
  <c r="G162" i="26"/>
  <c r="C163" i="26"/>
  <c r="E163" i="26"/>
  <c r="G163" i="26"/>
  <c r="C164" i="26"/>
  <c r="E164" i="26"/>
  <c r="G164" i="26"/>
  <c r="C165" i="26"/>
  <c r="E165" i="26"/>
  <c r="G165" i="26"/>
  <c r="C166" i="26"/>
  <c r="E166" i="26"/>
  <c r="G166" i="26"/>
  <c r="C167" i="26"/>
  <c r="E167" i="26"/>
  <c r="G167" i="26"/>
  <c r="C168" i="26"/>
  <c r="E168" i="26"/>
  <c r="G168" i="26"/>
  <c r="C169" i="26"/>
  <c r="E169" i="26"/>
  <c r="G169" i="26"/>
  <c r="C171" i="26"/>
  <c r="E171" i="26"/>
  <c r="G171" i="26"/>
  <c r="C172" i="26"/>
  <c r="E172" i="26"/>
  <c r="G172" i="26"/>
  <c r="C173" i="26"/>
  <c r="E173" i="26"/>
  <c r="G173" i="26"/>
  <c r="C175" i="26"/>
  <c r="E175" i="26"/>
  <c r="G175" i="26"/>
  <c r="C176" i="26"/>
  <c r="E176" i="26"/>
  <c r="G176" i="26"/>
  <c r="C177" i="26"/>
  <c r="E177" i="26"/>
  <c r="G177" i="26"/>
  <c r="C178" i="26"/>
  <c r="E178" i="26"/>
  <c r="G178" i="26"/>
  <c r="C179" i="26"/>
  <c r="E179" i="26"/>
  <c r="G179" i="26"/>
  <c r="C180" i="26"/>
  <c r="E180" i="26"/>
  <c r="G180" i="26"/>
  <c r="C184" i="26"/>
  <c r="E184" i="26"/>
  <c r="G184" i="26"/>
  <c r="C185" i="26"/>
  <c r="E185" i="26"/>
  <c r="G185" i="26"/>
  <c r="C188" i="26"/>
  <c r="E188" i="26"/>
  <c r="G188" i="26"/>
  <c r="C190" i="26"/>
  <c r="E190" i="26"/>
  <c r="G190" i="26"/>
  <c r="C192" i="26"/>
  <c r="E192" i="26"/>
  <c r="G192" i="26"/>
  <c r="C194" i="26"/>
  <c r="E194" i="26"/>
  <c r="G194" i="26"/>
  <c r="C195" i="26"/>
  <c r="E195" i="26"/>
  <c r="G195" i="26"/>
  <c r="C196" i="26"/>
  <c r="E196" i="26"/>
  <c r="G196" i="26"/>
  <c r="C197" i="26"/>
  <c r="E197" i="26"/>
  <c r="G197" i="26"/>
  <c r="C198" i="26"/>
  <c r="E198" i="26"/>
  <c r="G198" i="26"/>
  <c r="C200" i="26"/>
  <c r="D200" i="26" s="1"/>
  <c r="E200" i="26"/>
  <c r="F200" i="26" s="1"/>
  <c r="G200" i="26"/>
  <c r="H200" i="26" s="1"/>
  <c r="C202" i="26"/>
  <c r="E202" i="26"/>
  <c r="G202" i="26"/>
  <c r="C203" i="26"/>
  <c r="E203" i="26"/>
  <c r="G203" i="26"/>
  <c r="C204" i="26"/>
  <c r="E204" i="26"/>
  <c r="G204" i="26"/>
  <c r="C205" i="26"/>
  <c r="E205" i="26"/>
  <c r="G205" i="26"/>
  <c r="C206" i="26"/>
  <c r="E206" i="26"/>
  <c r="G206" i="26"/>
  <c r="C208" i="26"/>
  <c r="E208" i="26"/>
  <c r="G208" i="26"/>
  <c r="C209" i="26"/>
  <c r="E209" i="26"/>
  <c r="G209" i="26"/>
  <c r="C211" i="26"/>
  <c r="E211" i="26"/>
  <c r="G211" i="26"/>
  <c r="C212" i="26"/>
  <c r="E212" i="26"/>
  <c r="G212" i="26"/>
  <c r="C213" i="26"/>
  <c r="E213" i="26"/>
  <c r="G213" i="26"/>
  <c r="C214" i="26"/>
  <c r="E214" i="26"/>
  <c r="G214" i="26"/>
  <c r="C215" i="26"/>
  <c r="E215" i="26"/>
  <c r="G215" i="26"/>
  <c r="C216" i="26"/>
  <c r="E216" i="26"/>
  <c r="G216" i="26"/>
  <c r="C217" i="26"/>
  <c r="E217" i="26"/>
  <c r="G217" i="26"/>
  <c r="C218" i="26"/>
  <c r="E218" i="26"/>
  <c r="G218" i="26"/>
  <c r="C219" i="26"/>
  <c r="E219" i="26"/>
  <c r="G219" i="26"/>
  <c r="C220" i="26"/>
  <c r="E220" i="26"/>
  <c r="G220" i="26"/>
  <c r="C221" i="26"/>
  <c r="E221" i="26"/>
  <c r="G221" i="26"/>
  <c r="C223" i="26"/>
  <c r="E223" i="26"/>
  <c r="G223" i="26"/>
  <c r="C224" i="26"/>
  <c r="E224" i="26"/>
  <c r="G224" i="26"/>
  <c r="C226" i="26"/>
  <c r="E226" i="26"/>
  <c r="G226" i="26"/>
  <c r="C227" i="26"/>
  <c r="E227" i="26"/>
  <c r="G227" i="26"/>
  <c r="C228" i="26"/>
  <c r="E228" i="26"/>
  <c r="G228" i="26"/>
  <c r="C229" i="26"/>
  <c r="E229" i="26"/>
  <c r="G229" i="26"/>
  <c r="C231" i="26"/>
  <c r="E231" i="26"/>
  <c r="G231" i="26"/>
  <c r="C232" i="26"/>
  <c r="E232" i="26"/>
  <c r="G232" i="26"/>
  <c r="C233" i="26"/>
  <c r="E233" i="26"/>
  <c r="G233" i="26"/>
  <c r="C234" i="26"/>
  <c r="E234" i="26"/>
  <c r="G234" i="26"/>
  <c r="C235" i="26"/>
  <c r="E235" i="26"/>
  <c r="G235" i="26"/>
  <c r="C236" i="26"/>
  <c r="E236" i="26"/>
  <c r="G236" i="26"/>
  <c r="C238" i="26"/>
  <c r="E238" i="26"/>
  <c r="G238" i="26"/>
  <c r="C239" i="26"/>
  <c r="E90" i="17" s="1"/>
  <c r="E239" i="26"/>
  <c r="G239" i="26"/>
  <c r="C240" i="26"/>
  <c r="E240" i="26"/>
  <c r="G240" i="26"/>
  <c r="C241" i="26"/>
  <c r="E241" i="26"/>
  <c r="G241" i="26"/>
  <c r="C242" i="26"/>
  <c r="E242" i="26"/>
  <c r="G242" i="26"/>
  <c r="C244" i="26"/>
  <c r="E244" i="26"/>
  <c r="G244" i="26"/>
  <c r="C245" i="26"/>
  <c r="E245" i="26"/>
  <c r="G245" i="26"/>
  <c r="C246" i="26"/>
  <c r="E246" i="26"/>
  <c r="G246" i="26"/>
  <c r="C247" i="26"/>
  <c r="E247" i="26"/>
  <c r="G247" i="26"/>
  <c r="C248" i="26"/>
  <c r="E248" i="26"/>
  <c r="G248" i="26"/>
  <c r="C249" i="26"/>
  <c r="E249" i="26"/>
  <c r="G249" i="26"/>
  <c r="C250" i="26"/>
  <c r="E250" i="26"/>
  <c r="G250" i="26"/>
  <c r="C251" i="26"/>
  <c r="E251" i="26"/>
  <c r="G251" i="26"/>
  <c r="C253" i="26"/>
  <c r="E253" i="26"/>
  <c r="G253" i="26"/>
  <c r="C256" i="26"/>
  <c r="E256" i="26"/>
  <c r="G256" i="26"/>
  <c r="C257" i="26"/>
  <c r="E257" i="26"/>
  <c r="G257" i="26"/>
  <c r="C258" i="26"/>
  <c r="E258" i="26"/>
  <c r="G258" i="26"/>
  <c r="C259" i="26"/>
  <c r="E259" i="26"/>
  <c r="G259" i="26"/>
  <c r="C261" i="26"/>
  <c r="E261" i="26"/>
  <c r="G261" i="26"/>
  <c r="C262" i="26"/>
  <c r="E262" i="26"/>
  <c r="G262" i="26"/>
  <c r="C263" i="26"/>
  <c r="E263" i="26"/>
  <c r="G263" i="26"/>
  <c r="C264" i="26"/>
  <c r="E264" i="26"/>
  <c r="G264" i="26"/>
  <c r="C265" i="26"/>
  <c r="E265" i="26"/>
  <c r="G265" i="26"/>
  <c r="C266" i="26"/>
  <c r="E266" i="26"/>
  <c r="G266" i="26"/>
  <c r="C268" i="26"/>
  <c r="E268" i="26"/>
  <c r="G268" i="26"/>
  <c r="E270" i="26"/>
  <c r="G270" i="26"/>
  <c r="C272" i="26"/>
  <c r="E272" i="26"/>
  <c r="G272" i="26"/>
  <c r="C273" i="26"/>
  <c r="E273" i="26"/>
  <c r="G273" i="26"/>
  <c r="C274" i="26"/>
  <c r="E274" i="26"/>
  <c r="G274" i="26"/>
  <c r="C276" i="26"/>
  <c r="E276" i="26"/>
  <c r="G276" i="26"/>
  <c r="C277" i="26"/>
  <c r="E277" i="26"/>
  <c r="G277" i="26"/>
  <c r="C278" i="26"/>
  <c r="E278" i="26"/>
  <c r="G278" i="26"/>
  <c r="C279" i="26"/>
  <c r="E279" i="26"/>
  <c r="G279" i="26"/>
  <c r="C280" i="26"/>
  <c r="E280" i="26"/>
  <c r="G280" i="26"/>
  <c r="C282" i="26"/>
  <c r="E282" i="26"/>
  <c r="G282" i="26"/>
  <c r="C283" i="26"/>
  <c r="E283" i="26"/>
  <c r="G283" i="26"/>
  <c r="C284" i="26"/>
  <c r="E284" i="26"/>
  <c r="G284" i="26"/>
  <c r="C286" i="26"/>
  <c r="E286" i="26"/>
  <c r="G286" i="26"/>
  <c r="C288" i="26"/>
  <c r="E288" i="26"/>
  <c r="G288" i="26"/>
  <c r="C290" i="26"/>
  <c r="E290" i="26"/>
  <c r="G290" i="26"/>
  <c r="C291" i="26"/>
  <c r="E291" i="26"/>
  <c r="G291" i="26"/>
  <c r="C292" i="26"/>
  <c r="E292" i="26"/>
  <c r="G292" i="26"/>
  <c r="C295" i="26"/>
  <c r="E295" i="26"/>
  <c r="G295" i="26"/>
  <c r="C296" i="26"/>
  <c r="E296" i="26"/>
  <c r="G296" i="26"/>
  <c r="C297" i="26"/>
  <c r="E297" i="26"/>
  <c r="G297" i="26"/>
  <c r="C298" i="26"/>
  <c r="E298" i="26"/>
  <c r="G298" i="26"/>
  <c r="C299" i="26"/>
  <c r="E299" i="26"/>
  <c r="G299" i="26"/>
  <c r="C300" i="26"/>
  <c r="E300" i="26"/>
  <c r="G300" i="26"/>
  <c r="C301" i="26"/>
  <c r="E301" i="26"/>
  <c r="G301" i="26"/>
  <c r="C302" i="26"/>
  <c r="E302" i="26"/>
  <c r="G302" i="26"/>
  <c r="C303" i="26"/>
  <c r="E303" i="26"/>
  <c r="G303" i="26"/>
  <c r="C304" i="26"/>
  <c r="E304" i="26"/>
  <c r="G304" i="26"/>
  <c r="C305" i="26"/>
  <c r="E305" i="26"/>
  <c r="G305" i="26"/>
  <c r="C306" i="26"/>
  <c r="E306" i="26"/>
  <c r="G306" i="26"/>
  <c r="C307" i="26"/>
  <c r="E307" i="26"/>
  <c r="G307" i="26"/>
  <c r="C308" i="26"/>
  <c r="E308" i="26"/>
  <c r="G308" i="26"/>
  <c r="C309" i="26"/>
  <c r="E309" i="26"/>
  <c r="G309" i="26"/>
  <c r="C310" i="26"/>
  <c r="E310" i="26"/>
  <c r="G310" i="26"/>
  <c r="C311" i="26"/>
  <c r="E311" i="26"/>
  <c r="G311" i="26"/>
  <c r="C312" i="26"/>
  <c r="E312" i="26"/>
  <c r="G312" i="26"/>
  <c r="C313" i="26"/>
  <c r="E313" i="26"/>
  <c r="G313" i="26"/>
  <c r="C314" i="26"/>
  <c r="E314" i="26"/>
  <c r="G314" i="26"/>
  <c r="C315" i="26"/>
  <c r="E315" i="26"/>
  <c r="G315" i="26"/>
  <c r="C316" i="26"/>
  <c r="E316" i="26"/>
  <c r="G316" i="26"/>
  <c r="C317" i="26"/>
  <c r="E317" i="26"/>
  <c r="G317" i="26"/>
  <c r="C318" i="26"/>
  <c r="E318" i="26"/>
  <c r="G318" i="26"/>
  <c r="C319" i="26"/>
  <c r="E319" i="26"/>
  <c r="G319" i="26"/>
  <c r="C320" i="26"/>
  <c r="E320" i="26"/>
  <c r="G320" i="26"/>
  <c r="C321" i="26"/>
  <c r="E321" i="26"/>
  <c r="G321" i="26"/>
  <c r="C322" i="26"/>
  <c r="E322" i="26"/>
  <c r="G322" i="26"/>
  <c r="C323" i="26"/>
  <c r="E323" i="26"/>
  <c r="G323" i="26"/>
  <c r="C324" i="26"/>
  <c r="E324" i="26"/>
  <c r="G324" i="26"/>
  <c r="C325" i="26"/>
  <c r="E325" i="26"/>
  <c r="G325" i="26"/>
  <c r="C326" i="26"/>
  <c r="E326" i="26"/>
  <c r="G326" i="26"/>
  <c r="C327" i="26"/>
  <c r="E327" i="26"/>
  <c r="G327" i="26"/>
  <c r="C328" i="26"/>
  <c r="E328" i="26"/>
  <c r="G328" i="26"/>
  <c r="C330" i="26"/>
  <c r="E330" i="26"/>
  <c r="G330" i="26"/>
  <c r="C331" i="26"/>
  <c r="E331" i="26"/>
  <c r="G331" i="26"/>
  <c r="C332" i="26"/>
  <c r="E332" i="26"/>
  <c r="G332" i="26"/>
  <c r="C333" i="26"/>
  <c r="E333" i="26"/>
  <c r="G333" i="26"/>
  <c r="C334" i="26"/>
  <c r="E334" i="26"/>
  <c r="G334" i="26"/>
  <c r="C335" i="26"/>
  <c r="E335" i="26"/>
  <c r="G335" i="26"/>
  <c r="C336" i="26"/>
  <c r="E336" i="26"/>
  <c r="G336" i="26"/>
  <c r="C337" i="26"/>
  <c r="E337" i="26"/>
  <c r="G337" i="26"/>
  <c r="C338" i="26"/>
  <c r="E338" i="26"/>
  <c r="G338" i="26"/>
  <c r="C339" i="26"/>
  <c r="E339" i="26"/>
  <c r="G339" i="26"/>
  <c r="C340" i="26"/>
  <c r="E340" i="26"/>
  <c r="G340" i="26"/>
  <c r="C341" i="26"/>
  <c r="E341" i="26"/>
  <c r="G341" i="26"/>
  <c r="C342" i="26"/>
  <c r="E342" i="26"/>
  <c r="G342" i="26"/>
  <c r="C343" i="26"/>
  <c r="E343" i="26"/>
  <c r="G343" i="26"/>
  <c r="C344" i="26"/>
  <c r="E344" i="26"/>
  <c r="G344" i="26"/>
  <c r="C345" i="26"/>
  <c r="E345" i="26"/>
  <c r="G345" i="26"/>
  <c r="C346" i="26"/>
  <c r="E346" i="26"/>
  <c r="G346" i="26"/>
  <c r="C347" i="26"/>
  <c r="E347" i="26"/>
  <c r="G347" i="26"/>
  <c r="C348" i="26"/>
  <c r="E348" i="26"/>
  <c r="G348" i="26"/>
  <c r="C349" i="26"/>
  <c r="E349" i="26"/>
  <c r="G349" i="26"/>
  <c r="C350" i="26"/>
  <c r="E350" i="26"/>
  <c r="G350" i="26"/>
  <c r="C351" i="26"/>
  <c r="E351" i="26"/>
  <c r="G351" i="26"/>
  <c r="C352" i="26"/>
  <c r="E352" i="26"/>
  <c r="G352" i="26"/>
  <c r="C353" i="26"/>
  <c r="E353" i="26"/>
  <c r="G353" i="26"/>
  <c r="C354" i="26"/>
  <c r="E354" i="26"/>
  <c r="G354" i="26"/>
  <c r="C355" i="26"/>
  <c r="E355" i="26"/>
  <c r="G355" i="26"/>
  <c r="C357" i="26"/>
  <c r="E357" i="26"/>
  <c r="G357" i="26"/>
  <c r="C358" i="26"/>
  <c r="E358" i="26"/>
  <c r="G358" i="26"/>
  <c r="C359" i="26"/>
  <c r="E359" i="26"/>
  <c r="G359" i="26"/>
  <c r="C360" i="26"/>
  <c r="E360" i="26"/>
  <c r="G360" i="26"/>
  <c r="C361" i="26"/>
  <c r="E361" i="26"/>
  <c r="G361" i="26"/>
  <c r="C362" i="26"/>
  <c r="E362" i="26"/>
  <c r="G362" i="26"/>
  <c r="C363" i="26"/>
  <c r="E363" i="26"/>
  <c r="G363" i="26"/>
  <c r="C364" i="26"/>
  <c r="E364" i="26"/>
  <c r="G364" i="26"/>
  <c r="C365" i="26"/>
  <c r="E365" i="26"/>
  <c r="G365" i="26"/>
  <c r="C366" i="26"/>
  <c r="E366" i="26"/>
  <c r="G366" i="26"/>
  <c r="C367" i="26"/>
  <c r="E367" i="26"/>
  <c r="G367" i="26"/>
  <c r="C368" i="26"/>
  <c r="E368" i="26"/>
  <c r="G368" i="26"/>
  <c r="C369" i="26"/>
  <c r="E369" i="26"/>
  <c r="G369" i="26"/>
  <c r="C370" i="26"/>
  <c r="E370" i="26"/>
  <c r="G370" i="26"/>
  <c r="C371" i="26"/>
  <c r="E371" i="26"/>
  <c r="G371" i="26"/>
  <c r="C373" i="26"/>
  <c r="E373" i="26"/>
  <c r="G373" i="26"/>
  <c r="C374" i="26"/>
  <c r="E374" i="26"/>
  <c r="G374" i="26"/>
  <c r="C375" i="26"/>
  <c r="E375" i="26"/>
  <c r="G375" i="26"/>
  <c r="C376" i="26"/>
  <c r="E376" i="26"/>
  <c r="G376" i="26"/>
  <c r="C377" i="26"/>
  <c r="E377" i="26"/>
  <c r="G377" i="26"/>
  <c r="C378" i="26"/>
  <c r="E378" i="26"/>
  <c r="G378" i="26"/>
  <c r="C379" i="26"/>
  <c r="E379" i="26"/>
  <c r="G379" i="26"/>
  <c r="C380" i="26"/>
  <c r="E380" i="26"/>
  <c r="G380" i="26"/>
  <c r="C381" i="26"/>
  <c r="E381" i="26"/>
  <c r="G381" i="26"/>
  <c r="C382" i="26"/>
  <c r="E382" i="26"/>
  <c r="G382" i="26"/>
  <c r="C383" i="26"/>
  <c r="E383" i="26"/>
  <c r="G383" i="26"/>
  <c r="C384" i="26"/>
  <c r="E384" i="26"/>
  <c r="G384" i="26"/>
  <c r="C385" i="26"/>
  <c r="E385" i="26"/>
  <c r="G385" i="26"/>
  <c r="C386" i="26"/>
  <c r="E386" i="26"/>
  <c r="G386" i="26"/>
  <c r="C387" i="26"/>
  <c r="E387" i="26"/>
  <c r="G387" i="26"/>
  <c r="C388" i="26"/>
  <c r="E388" i="26"/>
  <c r="G388" i="26"/>
  <c r="C389" i="26"/>
  <c r="E389" i="26"/>
  <c r="G389" i="26"/>
  <c r="C390" i="26"/>
  <c r="E390" i="26"/>
  <c r="G390" i="26"/>
  <c r="C391" i="26"/>
  <c r="E391" i="26"/>
  <c r="G391" i="26"/>
  <c r="C392" i="26"/>
  <c r="E392" i="26"/>
  <c r="G392" i="26"/>
  <c r="C393" i="26"/>
  <c r="E393" i="26"/>
  <c r="G393" i="26"/>
  <c r="C394" i="26"/>
  <c r="E394" i="26"/>
  <c r="G394" i="26"/>
  <c r="C395" i="26"/>
  <c r="E395" i="26"/>
  <c r="G395" i="26"/>
  <c r="C396" i="26"/>
  <c r="E396" i="26"/>
  <c r="G396" i="26"/>
  <c r="C397" i="26"/>
  <c r="E397" i="26"/>
  <c r="G397" i="26"/>
  <c r="C398" i="26"/>
  <c r="E398" i="26"/>
  <c r="G398" i="26"/>
  <c r="C399" i="26"/>
  <c r="E399" i="26"/>
  <c r="G399" i="26"/>
  <c r="C400" i="26"/>
  <c r="E400" i="26"/>
  <c r="G400" i="26"/>
  <c r="C401" i="26"/>
  <c r="E401" i="26"/>
  <c r="G401" i="26"/>
  <c r="C402" i="26"/>
  <c r="E402" i="26"/>
  <c r="G402" i="26"/>
  <c r="C403" i="26"/>
  <c r="E403" i="26"/>
  <c r="G403" i="26"/>
  <c r="C404" i="26"/>
  <c r="E404" i="26"/>
  <c r="G404" i="26"/>
  <c r="C405" i="26"/>
  <c r="E405" i="26"/>
  <c r="G405" i="26"/>
  <c r="C406" i="26"/>
  <c r="E406" i="26"/>
  <c r="G406" i="26"/>
  <c r="C407" i="26"/>
  <c r="E407" i="26"/>
  <c r="G407" i="26"/>
  <c r="C408" i="26"/>
  <c r="E408" i="26"/>
  <c r="G408" i="26"/>
  <c r="C409" i="26"/>
  <c r="E409" i="26"/>
  <c r="G409" i="26"/>
  <c r="C410" i="26"/>
  <c r="E410" i="26"/>
  <c r="G410" i="26"/>
  <c r="C411" i="26"/>
  <c r="E411" i="26"/>
  <c r="G411" i="26"/>
  <c r="C412" i="26"/>
  <c r="E412" i="26"/>
  <c r="G412" i="26"/>
  <c r="C413" i="26"/>
  <c r="E413" i="26"/>
  <c r="G413" i="26"/>
  <c r="C414" i="26"/>
  <c r="E414" i="26"/>
  <c r="G414" i="26"/>
  <c r="C415" i="26"/>
  <c r="E415" i="26"/>
  <c r="G415" i="26"/>
  <c r="C416" i="26"/>
  <c r="E416" i="26"/>
  <c r="G416" i="26"/>
  <c r="C417" i="26"/>
  <c r="E417" i="26"/>
  <c r="G417" i="26"/>
  <c r="C418" i="26"/>
  <c r="E418" i="26"/>
  <c r="G418" i="26"/>
  <c r="C419" i="26"/>
  <c r="E419" i="26"/>
  <c r="G419" i="26"/>
  <c r="C420" i="26"/>
  <c r="E420" i="26"/>
  <c r="G420" i="26"/>
  <c r="C421" i="26"/>
  <c r="E421" i="26"/>
  <c r="G421" i="26"/>
  <c r="C422" i="26"/>
  <c r="E422" i="26"/>
  <c r="G422" i="26"/>
  <c r="C423" i="26"/>
  <c r="E423" i="26"/>
  <c r="G423" i="26"/>
  <c r="C424" i="26"/>
  <c r="E424" i="26"/>
  <c r="G424" i="26"/>
  <c r="C425" i="26"/>
  <c r="E425" i="26"/>
  <c r="G425" i="26"/>
  <c r="C426" i="26"/>
  <c r="E426" i="26"/>
  <c r="G426" i="26"/>
  <c r="C427" i="26"/>
  <c r="E427" i="26"/>
  <c r="G427" i="26"/>
  <c r="C428" i="26"/>
  <c r="E428" i="26"/>
  <c r="G428" i="26"/>
  <c r="C429" i="26"/>
  <c r="E429" i="26"/>
  <c r="G429" i="26"/>
  <c r="C430" i="26"/>
  <c r="E430" i="26"/>
  <c r="G430" i="26"/>
  <c r="C431" i="26"/>
  <c r="E431" i="26"/>
  <c r="G431" i="26"/>
  <c r="C432" i="26"/>
  <c r="E432" i="26"/>
  <c r="G432" i="26"/>
  <c r="C433" i="26"/>
  <c r="E433" i="26"/>
  <c r="G433" i="26"/>
  <c r="C434" i="26"/>
  <c r="E434" i="26"/>
  <c r="G434" i="26"/>
  <c r="C435" i="26"/>
  <c r="E435" i="26"/>
  <c r="G435" i="26"/>
  <c r="C436" i="26"/>
  <c r="E436" i="26"/>
  <c r="G436" i="26"/>
  <c r="C437" i="26"/>
  <c r="E437" i="26"/>
  <c r="G437" i="26"/>
  <c r="C438" i="26"/>
  <c r="E438" i="26"/>
  <c r="G438" i="26"/>
  <c r="C439" i="26"/>
  <c r="E439" i="26"/>
  <c r="G439" i="26"/>
  <c r="C440" i="26"/>
  <c r="E440" i="26"/>
  <c r="G440" i="26"/>
  <c r="C441" i="26"/>
  <c r="E441" i="26"/>
  <c r="G441" i="26"/>
  <c r="C442" i="26"/>
  <c r="E442" i="26"/>
  <c r="G442" i="26"/>
  <c r="C443" i="26"/>
  <c r="E443" i="26"/>
  <c r="G443" i="26"/>
  <c r="C444" i="26"/>
  <c r="E444" i="26"/>
  <c r="G444" i="26"/>
  <c r="C445" i="26"/>
  <c r="E445" i="26"/>
  <c r="G445" i="26"/>
  <c r="C446" i="26"/>
  <c r="E446" i="26"/>
  <c r="G446" i="26"/>
  <c r="C447" i="26"/>
  <c r="E447" i="26"/>
  <c r="G447" i="26"/>
  <c r="C448" i="26"/>
  <c r="E448" i="26"/>
  <c r="G448" i="26"/>
  <c r="C449" i="26"/>
  <c r="E449" i="26"/>
  <c r="G449" i="26"/>
  <c r="C450" i="26"/>
  <c r="E450" i="26"/>
  <c r="G450" i="26"/>
  <c r="C451" i="26"/>
  <c r="E451" i="26"/>
  <c r="G451" i="26"/>
  <c r="C452" i="26"/>
  <c r="E452" i="26"/>
  <c r="G452" i="26"/>
  <c r="C453" i="26"/>
  <c r="E453" i="26"/>
  <c r="G453" i="26"/>
  <c r="C454" i="26"/>
  <c r="E454" i="26"/>
  <c r="G454" i="26"/>
  <c r="C455" i="26"/>
  <c r="E455" i="26"/>
  <c r="G455" i="26"/>
  <c r="C456" i="26"/>
  <c r="E456" i="26"/>
  <c r="G456" i="26"/>
  <c r="C457" i="26"/>
  <c r="E457" i="26"/>
  <c r="G457" i="26"/>
  <c r="C458" i="26"/>
  <c r="E458" i="26"/>
  <c r="G458" i="26"/>
  <c r="C459" i="26"/>
  <c r="E459" i="26"/>
  <c r="G459" i="26"/>
  <c r="C460" i="26"/>
  <c r="E460" i="26"/>
  <c r="G460" i="26"/>
  <c r="C461" i="26"/>
  <c r="E461" i="26"/>
  <c r="G461" i="26"/>
  <c r="C462" i="26"/>
  <c r="E462" i="26"/>
  <c r="G462" i="26"/>
  <c r="C463" i="26"/>
  <c r="E463" i="26"/>
  <c r="G463" i="26"/>
  <c r="C464" i="26"/>
  <c r="E464" i="26"/>
  <c r="G464" i="26"/>
  <c r="C465" i="26"/>
  <c r="E465" i="26"/>
  <c r="G465" i="26"/>
  <c r="C466" i="26"/>
  <c r="E466" i="26"/>
  <c r="G466" i="26"/>
  <c r="C467" i="26"/>
  <c r="E467" i="26"/>
  <c r="G467" i="26"/>
  <c r="C468" i="26"/>
  <c r="E468" i="26"/>
  <c r="G468" i="26"/>
  <c r="C469" i="26"/>
  <c r="E469" i="26"/>
  <c r="G469" i="26"/>
  <c r="C470" i="26"/>
  <c r="E470" i="26"/>
  <c r="G470" i="26"/>
  <c r="C471" i="26"/>
  <c r="E471" i="26"/>
  <c r="G471" i="26"/>
  <c r="C472" i="26"/>
  <c r="E472" i="26"/>
  <c r="G472" i="26"/>
  <c r="C473" i="26"/>
  <c r="E473" i="26"/>
  <c r="G473" i="26"/>
  <c r="C474" i="26"/>
  <c r="E474" i="26"/>
  <c r="G474" i="26"/>
  <c r="C475" i="26"/>
  <c r="E475" i="26"/>
  <c r="G475" i="26"/>
  <c r="C476" i="26"/>
  <c r="E476" i="26"/>
  <c r="G476" i="26"/>
  <c r="C477" i="26"/>
  <c r="E477" i="26"/>
  <c r="G477" i="26"/>
  <c r="C478" i="26"/>
  <c r="E478" i="26"/>
  <c r="G478" i="26"/>
  <c r="C479" i="26"/>
  <c r="E479" i="26"/>
  <c r="G479" i="26"/>
  <c r="C480" i="26"/>
  <c r="E480" i="26"/>
  <c r="G480" i="26"/>
  <c r="C481" i="26"/>
  <c r="E481" i="26"/>
  <c r="G481" i="26"/>
  <c r="C482" i="26"/>
  <c r="E482" i="26"/>
  <c r="G482" i="26"/>
  <c r="C484" i="26"/>
  <c r="E484" i="26"/>
  <c r="G484" i="26"/>
  <c r="C485" i="26"/>
  <c r="E485" i="26"/>
  <c r="G485" i="26"/>
  <c r="C486" i="26"/>
  <c r="E486" i="26"/>
  <c r="G486" i="26"/>
  <c r="C487" i="26"/>
  <c r="E487" i="26"/>
  <c r="G487" i="26"/>
  <c r="C488" i="26"/>
  <c r="E488" i="26"/>
  <c r="G488" i="26"/>
  <c r="C489" i="26"/>
  <c r="E489" i="26"/>
  <c r="G489" i="26"/>
  <c r="C490" i="26"/>
  <c r="E490" i="26"/>
  <c r="G490" i="26"/>
  <c r="C491" i="26"/>
  <c r="E491" i="26"/>
  <c r="G491" i="26"/>
  <c r="C492" i="26"/>
  <c r="E492" i="26"/>
  <c r="G492" i="26"/>
  <c r="C493" i="26"/>
  <c r="E493" i="26"/>
  <c r="G493" i="26"/>
  <c r="C494" i="26"/>
  <c r="E494" i="26"/>
  <c r="G494" i="26"/>
  <c r="C495" i="26"/>
  <c r="E495" i="26"/>
  <c r="G495" i="26"/>
  <c r="C496" i="26"/>
  <c r="E496" i="26"/>
  <c r="G496" i="26"/>
  <c r="C497" i="26"/>
  <c r="E497" i="26"/>
  <c r="G497" i="26"/>
  <c r="C499" i="26"/>
  <c r="E499" i="26"/>
  <c r="G499" i="26"/>
  <c r="C500" i="26"/>
  <c r="E500" i="26"/>
  <c r="G500" i="26"/>
  <c r="C501" i="26"/>
  <c r="E501" i="26"/>
  <c r="G501" i="26"/>
  <c r="C502" i="26"/>
  <c r="E502" i="26"/>
  <c r="G502" i="26"/>
  <c r="C503" i="26"/>
  <c r="E503" i="26"/>
  <c r="G503" i="26"/>
  <c r="C504" i="26"/>
  <c r="E504" i="26"/>
  <c r="G504" i="26"/>
  <c r="C505" i="26"/>
  <c r="E505" i="26"/>
  <c r="G505" i="26"/>
  <c r="C506" i="26"/>
  <c r="E506" i="26"/>
  <c r="G506" i="26"/>
  <c r="C507" i="26"/>
  <c r="E507" i="26"/>
  <c r="G507" i="26"/>
  <c r="C508" i="26"/>
  <c r="E508" i="26"/>
  <c r="G508" i="26"/>
  <c r="C509" i="26"/>
  <c r="E509" i="26"/>
  <c r="G509" i="26"/>
  <c r="C510" i="26"/>
  <c r="E510" i="26"/>
  <c r="G510" i="26"/>
  <c r="C511" i="26"/>
  <c r="E511" i="26"/>
  <c r="G511" i="26"/>
  <c r="C512" i="26"/>
  <c r="E512" i="26"/>
  <c r="G512" i="26"/>
  <c r="C513" i="26"/>
  <c r="E513" i="26"/>
  <c r="G513" i="26"/>
  <c r="C514" i="26"/>
  <c r="E514" i="26"/>
  <c r="G514" i="26"/>
  <c r="C515" i="26"/>
  <c r="E515" i="26"/>
  <c r="G515" i="26"/>
  <c r="C516" i="26"/>
  <c r="E516" i="26"/>
  <c r="G516" i="26"/>
  <c r="C517" i="26"/>
  <c r="E517" i="26"/>
  <c r="G517" i="26"/>
  <c r="C518" i="26"/>
  <c r="E518" i="26"/>
  <c r="G518" i="26"/>
  <c r="C519" i="26"/>
  <c r="E519" i="26"/>
  <c r="G519" i="26"/>
  <c r="C520" i="26"/>
  <c r="E520" i="26"/>
  <c r="G520" i="26"/>
  <c r="C521" i="26"/>
  <c r="E521" i="26"/>
  <c r="G521" i="26"/>
  <c r="C522" i="26"/>
  <c r="E522" i="26"/>
  <c r="G522" i="26"/>
  <c r="C523" i="26"/>
  <c r="E523" i="26"/>
  <c r="G523" i="26"/>
  <c r="C524" i="26"/>
  <c r="E524" i="26"/>
  <c r="G524" i="26"/>
  <c r="C525" i="26"/>
  <c r="E525" i="26"/>
  <c r="G525" i="26"/>
  <c r="C526" i="26"/>
  <c r="E526" i="26"/>
  <c r="G526" i="26"/>
  <c r="C527" i="26"/>
  <c r="E527" i="26"/>
  <c r="G527" i="26"/>
  <c r="C528" i="26"/>
  <c r="E528" i="26"/>
  <c r="G528" i="26"/>
  <c r="C529" i="26"/>
  <c r="E529" i="26"/>
  <c r="G529" i="26"/>
  <c r="C530" i="26"/>
  <c r="E530" i="26"/>
  <c r="G530" i="26"/>
  <c r="C531" i="26"/>
  <c r="E531" i="26"/>
  <c r="G531" i="26"/>
  <c r="C532" i="26"/>
  <c r="E532" i="26"/>
  <c r="G532" i="26"/>
  <c r="C533" i="26"/>
  <c r="E533" i="26"/>
  <c r="G533" i="26"/>
  <c r="C534" i="26"/>
  <c r="E534" i="26"/>
  <c r="G534" i="26"/>
  <c r="C536" i="26"/>
  <c r="E536" i="26"/>
  <c r="G536" i="26"/>
  <c r="C537" i="26"/>
  <c r="E537" i="26"/>
  <c r="G537" i="26"/>
  <c r="C538" i="26"/>
  <c r="E538" i="26"/>
  <c r="G538" i="26"/>
  <c r="C539" i="26"/>
  <c r="E539" i="26"/>
  <c r="G539" i="26"/>
  <c r="C540" i="26"/>
  <c r="E540" i="26"/>
  <c r="G540" i="26"/>
  <c r="C541" i="26"/>
  <c r="E541" i="26"/>
  <c r="G541" i="26"/>
  <c r="C542" i="26"/>
  <c r="E542" i="26"/>
  <c r="G542" i="26"/>
  <c r="C543" i="26"/>
  <c r="E543" i="26"/>
  <c r="G543" i="26"/>
  <c r="C544" i="26"/>
  <c r="E544" i="26"/>
  <c r="G544" i="26"/>
  <c r="C545" i="26"/>
  <c r="E545" i="26"/>
  <c r="G545" i="26"/>
  <c r="C546" i="26"/>
  <c r="E546" i="26"/>
  <c r="G546" i="26"/>
  <c r="C547" i="26"/>
  <c r="E547" i="26"/>
  <c r="G547" i="26"/>
  <c r="C548" i="26"/>
  <c r="E548" i="26"/>
  <c r="G548" i="26"/>
  <c r="C549" i="26"/>
  <c r="E549" i="26"/>
  <c r="G549" i="26"/>
  <c r="C550" i="26"/>
  <c r="E550" i="26"/>
  <c r="G550" i="26"/>
  <c r="C551" i="26"/>
  <c r="E551" i="26"/>
  <c r="G551" i="26"/>
  <c r="C552" i="26"/>
  <c r="E552" i="26"/>
  <c r="G552" i="26"/>
  <c r="C553" i="26"/>
  <c r="E553" i="26"/>
  <c r="G553" i="26"/>
  <c r="C554" i="26"/>
  <c r="E554" i="26"/>
  <c r="G554" i="26"/>
  <c r="C555" i="26"/>
  <c r="E555" i="26"/>
  <c r="G555" i="26"/>
  <c r="C556" i="26"/>
  <c r="E556" i="26"/>
  <c r="G556" i="26"/>
  <c r="C557" i="26"/>
  <c r="E557" i="26"/>
  <c r="G557" i="26"/>
  <c r="C558" i="26"/>
  <c r="E558" i="26"/>
  <c r="G558" i="26"/>
  <c r="C559" i="26"/>
  <c r="E559" i="26"/>
  <c r="G559" i="26"/>
  <c r="C560" i="26"/>
  <c r="E560" i="26"/>
  <c r="G560" i="26"/>
  <c r="C561" i="26"/>
  <c r="E561" i="26"/>
  <c r="G561" i="26"/>
  <c r="C562" i="26"/>
  <c r="E562" i="26"/>
  <c r="G562" i="26"/>
  <c r="C563" i="26"/>
  <c r="E563" i="26"/>
  <c r="G563" i="26"/>
  <c r="C564" i="26"/>
  <c r="E564" i="26"/>
  <c r="G564" i="26"/>
  <c r="C566" i="26"/>
  <c r="E566" i="26"/>
  <c r="G566" i="26"/>
  <c r="C567" i="26"/>
  <c r="E567" i="26"/>
  <c r="G567" i="26"/>
  <c r="C568" i="26"/>
  <c r="E568" i="26"/>
  <c r="G568" i="26"/>
  <c r="C569" i="26"/>
  <c r="E569" i="26"/>
  <c r="G569" i="26"/>
  <c r="C570" i="26"/>
  <c r="E570" i="26"/>
  <c r="G570" i="26"/>
  <c r="C571" i="26"/>
  <c r="E571" i="26"/>
  <c r="G571" i="26"/>
  <c r="C572" i="26"/>
  <c r="E572" i="26"/>
  <c r="G572" i="26"/>
  <c r="C573" i="26"/>
  <c r="E573" i="26"/>
  <c r="G573" i="26"/>
  <c r="C574" i="26"/>
  <c r="E574" i="26"/>
  <c r="G574" i="26"/>
  <c r="C575" i="26"/>
  <c r="E575" i="26"/>
  <c r="G575" i="26"/>
  <c r="C576" i="26"/>
  <c r="E576" i="26"/>
  <c r="G576" i="26"/>
  <c r="C577" i="26"/>
  <c r="E577" i="26"/>
  <c r="G577" i="26"/>
  <c r="C578" i="26"/>
  <c r="E578" i="26"/>
  <c r="G578" i="26"/>
  <c r="C579" i="26"/>
  <c r="E579" i="26"/>
  <c r="G579" i="26"/>
  <c r="C580" i="26"/>
  <c r="E580" i="26"/>
  <c r="G580" i="26"/>
  <c r="C581" i="26"/>
  <c r="E581" i="26"/>
  <c r="G581" i="26"/>
  <c r="C582" i="26"/>
  <c r="E582" i="26"/>
  <c r="G582" i="26"/>
  <c r="C583" i="26"/>
  <c r="E583" i="26"/>
  <c r="G583" i="26"/>
  <c r="C584" i="26"/>
  <c r="E584" i="26"/>
  <c r="G584" i="26"/>
  <c r="C585" i="26"/>
  <c r="E585" i="26"/>
  <c r="G585" i="26"/>
  <c r="C586" i="26"/>
  <c r="E586" i="26"/>
  <c r="G586" i="26"/>
  <c r="C587" i="26"/>
  <c r="E587" i="26"/>
  <c r="G587" i="26"/>
  <c r="C588" i="26"/>
  <c r="E588" i="26"/>
  <c r="G588" i="26"/>
  <c r="C589" i="26"/>
  <c r="E589" i="26"/>
  <c r="G589" i="26"/>
  <c r="C590" i="26"/>
  <c r="E590" i="26"/>
  <c r="G590" i="26"/>
  <c r="C591" i="26"/>
  <c r="E591" i="26"/>
  <c r="G591" i="26"/>
  <c r="C592" i="26"/>
  <c r="E592" i="26"/>
  <c r="G592" i="26"/>
  <c r="C593" i="26"/>
  <c r="E593" i="26"/>
  <c r="G593" i="26"/>
  <c r="C594" i="26"/>
  <c r="E594" i="26"/>
  <c r="G594" i="26"/>
  <c r="C595" i="26"/>
  <c r="E595" i="26"/>
  <c r="G595" i="26"/>
  <c r="C596" i="26"/>
  <c r="E596" i="26"/>
  <c r="G596" i="26"/>
  <c r="C598" i="26"/>
  <c r="E598" i="26"/>
  <c r="G598" i="26"/>
  <c r="C599" i="26"/>
  <c r="E599" i="26"/>
  <c r="G599" i="26"/>
  <c r="C600" i="26"/>
  <c r="E600" i="26"/>
  <c r="G600" i="26"/>
  <c r="C601" i="26"/>
  <c r="E601" i="26"/>
  <c r="G601" i="26"/>
  <c r="C602" i="26"/>
  <c r="E602" i="26"/>
  <c r="G602" i="26"/>
  <c r="C603" i="26"/>
  <c r="E603" i="26"/>
  <c r="G603" i="26"/>
  <c r="C604" i="26"/>
  <c r="E604" i="26"/>
  <c r="G604" i="26"/>
  <c r="C605" i="26"/>
  <c r="E605" i="26"/>
  <c r="G605" i="26"/>
  <c r="C606" i="26"/>
  <c r="E606" i="26"/>
  <c r="G606" i="26"/>
  <c r="C607" i="26"/>
  <c r="E607" i="26"/>
  <c r="G607" i="26"/>
  <c r="C608" i="26"/>
  <c r="E608" i="26"/>
  <c r="G608" i="26"/>
  <c r="C609" i="26"/>
  <c r="E609" i="26"/>
  <c r="G609" i="26"/>
  <c r="C611" i="26"/>
  <c r="E611" i="26"/>
  <c r="G611" i="26"/>
  <c r="C612" i="26"/>
  <c r="E612" i="26"/>
  <c r="G612" i="26"/>
  <c r="C613" i="26"/>
  <c r="E613" i="26"/>
  <c r="G613" i="26"/>
  <c r="C614" i="26"/>
  <c r="E614" i="26"/>
  <c r="G614" i="26"/>
  <c r="C615" i="26"/>
  <c r="E615" i="26"/>
  <c r="G615" i="26"/>
  <c r="C616" i="26"/>
  <c r="E616" i="26"/>
  <c r="G616" i="26"/>
  <c r="C617" i="26"/>
  <c r="E617" i="26"/>
  <c r="G617" i="26"/>
  <c r="C618" i="26"/>
  <c r="E618" i="26"/>
  <c r="G618" i="26"/>
  <c r="C619" i="26"/>
  <c r="E619" i="26"/>
  <c r="G619" i="26"/>
  <c r="C620" i="26"/>
  <c r="E620" i="26"/>
  <c r="G620" i="26"/>
  <c r="C621" i="26"/>
  <c r="E621" i="26"/>
  <c r="G621" i="26"/>
  <c r="C622" i="26"/>
  <c r="E622" i="26"/>
  <c r="G622" i="26"/>
  <c r="C623" i="26"/>
  <c r="E623" i="26"/>
  <c r="G623" i="26"/>
  <c r="C624" i="26"/>
  <c r="E624" i="26"/>
  <c r="G624" i="26"/>
  <c r="C625" i="26"/>
  <c r="E625" i="26"/>
  <c r="G625" i="26"/>
  <c r="C626" i="26"/>
  <c r="E626" i="26"/>
  <c r="G626" i="26"/>
  <c r="C627" i="26"/>
  <c r="E627" i="26"/>
  <c r="G627" i="26"/>
  <c r="C628" i="26"/>
  <c r="E628" i="26"/>
  <c r="G628" i="26"/>
  <c r="C629" i="26"/>
  <c r="E629" i="26"/>
  <c r="G629" i="26"/>
  <c r="C630" i="26"/>
  <c r="E630" i="26"/>
  <c r="G630" i="26"/>
  <c r="C631" i="26"/>
  <c r="E631" i="26"/>
  <c r="G631" i="26"/>
  <c r="C632" i="26"/>
  <c r="E632" i="26"/>
  <c r="G632" i="26"/>
  <c r="C633" i="26"/>
  <c r="E633" i="26"/>
  <c r="G633" i="26"/>
  <c r="C634" i="26"/>
  <c r="E634" i="26"/>
  <c r="G634" i="26"/>
  <c r="C635" i="26"/>
  <c r="E635" i="26"/>
  <c r="G635" i="26"/>
  <c r="C636" i="26"/>
  <c r="E636" i="26"/>
  <c r="G636" i="26"/>
  <c r="C637" i="26"/>
  <c r="E637" i="26"/>
  <c r="G637" i="26"/>
  <c r="C638" i="26"/>
  <c r="E638" i="26"/>
  <c r="G638" i="26"/>
  <c r="C639" i="26"/>
  <c r="E639" i="26"/>
  <c r="G639" i="26"/>
  <c r="C640" i="26"/>
  <c r="E640" i="26"/>
  <c r="G640" i="26"/>
  <c r="C641" i="26"/>
  <c r="E641" i="26"/>
  <c r="G641" i="26"/>
  <c r="C642" i="26"/>
  <c r="E642" i="26"/>
  <c r="G642" i="26"/>
  <c r="C643" i="26"/>
  <c r="E643" i="26"/>
  <c r="G643" i="26"/>
  <c r="C644" i="26"/>
  <c r="E644" i="26"/>
  <c r="G644" i="26"/>
  <c r="C645" i="26"/>
  <c r="E645" i="26"/>
  <c r="G645" i="26"/>
  <c r="C646" i="26"/>
  <c r="E646" i="26"/>
  <c r="G646" i="26"/>
  <c r="C647" i="26"/>
  <c r="E647" i="26"/>
  <c r="G647" i="26"/>
  <c r="C648" i="26"/>
  <c r="E648" i="26"/>
  <c r="G648" i="26"/>
  <c r="C649" i="26"/>
  <c r="E649" i="26"/>
  <c r="G649" i="26"/>
  <c r="C650" i="26"/>
  <c r="E650" i="26"/>
  <c r="G650" i="26"/>
  <c r="C651" i="26"/>
  <c r="E651" i="26"/>
  <c r="G651" i="26"/>
  <c r="C652" i="26"/>
  <c r="E652" i="26"/>
  <c r="G652" i="26"/>
  <c r="C653" i="26"/>
  <c r="E653" i="26"/>
  <c r="G653" i="26"/>
  <c r="C654" i="26"/>
  <c r="E654" i="26"/>
  <c r="G654" i="26"/>
  <c r="C655" i="26"/>
  <c r="E655" i="26"/>
  <c r="G655" i="26"/>
  <c r="C656" i="26"/>
  <c r="E656" i="26"/>
  <c r="G656" i="26"/>
  <c r="C657" i="26"/>
  <c r="E657" i="26"/>
  <c r="G657" i="26"/>
  <c r="C658" i="26"/>
  <c r="E658" i="26"/>
  <c r="G658" i="26"/>
  <c r="C659" i="26"/>
  <c r="E659" i="26"/>
  <c r="G659" i="26"/>
  <c r="C660" i="26"/>
  <c r="E660" i="26"/>
  <c r="G660" i="26"/>
  <c r="C661" i="26"/>
  <c r="E661" i="26"/>
  <c r="G661" i="26"/>
  <c r="C662" i="26"/>
  <c r="E662" i="26"/>
  <c r="G662" i="26"/>
  <c r="C663" i="26"/>
  <c r="E663" i="26"/>
  <c r="G663" i="26"/>
  <c r="C664" i="26"/>
  <c r="E664" i="26"/>
  <c r="G664" i="26"/>
  <c r="C665" i="26"/>
  <c r="E665" i="26"/>
  <c r="G665" i="26"/>
  <c r="C666" i="26"/>
  <c r="E666" i="26"/>
  <c r="G666" i="26"/>
  <c r="C667" i="26"/>
  <c r="E667" i="26"/>
  <c r="G667" i="26"/>
  <c r="C668" i="26"/>
  <c r="E668" i="26"/>
  <c r="G668" i="26"/>
  <c r="C669" i="26"/>
  <c r="E669" i="26"/>
  <c r="G669" i="26"/>
  <c r="C670" i="26"/>
  <c r="E670" i="26"/>
  <c r="G670" i="26"/>
  <c r="C671" i="26"/>
  <c r="E671" i="26"/>
  <c r="G671" i="26"/>
  <c r="C672" i="26"/>
  <c r="E672" i="26"/>
  <c r="G672" i="26"/>
  <c r="C673" i="26"/>
  <c r="E673" i="26"/>
  <c r="G673" i="26"/>
  <c r="C674" i="26"/>
  <c r="E674" i="26"/>
  <c r="G674" i="26"/>
  <c r="C675" i="26"/>
  <c r="E675" i="26"/>
  <c r="G675" i="26"/>
  <c r="C676" i="26"/>
  <c r="E676" i="26"/>
  <c r="G676" i="26"/>
  <c r="C677" i="26"/>
  <c r="E677" i="26"/>
  <c r="G677" i="26"/>
  <c r="C678" i="26"/>
  <c r="E678" i="26"/>
  <c r="G678" i="26"/>
  <c r="C679" i="26"/>
  <c r="E679" i="26"/>
  <c r="G679" i="26"/>
  <c r="C680" i="26"/>
  <c r="E680" i="26"/>
  <c r="G680" i="26"/>
  <c r="C681" i="26"/>
  <c r="E681" i="26"/>
  <c r="G681" i="26"/>
  <c r="C682" i="26"/>
  <c r="E682" i="26"/>
  <c r="G682" i="26"/>
  <c r="C683" i="26"/>
  <c r="E683" i="26"/>
  <c r="G683" i="26"/>
  <c r="C684" i="26"/>
  <c r="E684" i="26"/>
  <c r="G684" i="26"/>
  <c r="C685" i="26"/>
  <c r="E685" i="26"/>
  <c r="G685" i="26"/>
  <c r="C686" i="26"/>
  <c r="E686" i="26"/>
  <c r="G686" i="26"/>
  <c r="C687" i="26"/>
  <c r="E687" i="26"/>
  <c r="G687" i="26"/>
  <c r="C688" i="26"/>
  <c r="E688" i="26"/>
  <c r="G688" i="26"/>
  <c r="C689" i="26"/>
  <c r="E689" i="26"/>
  <c r="G689" i="26"/>
  <c r="C690" i="26"/>
  <c r="E690" i="26"/>
  <c r="G690" i="26"/>
  <c r="C691" i="26"/>
  <c r="E691" i="26"/>
  <c r="G691" i="26"/>
  <c r="C692" i="26"/>
  <c r="E692" i="26"/>
  <c r="G692" i="26"/>
  <c r="C693" i="26"/>
  <c r="E693" i="26"/>
  <c r="G693" i="26"/>
  <c r="C694" i="26"/>
  <c r="E694" i="26"/>
  <c r="G694" i="26"/>
  <c r="C695" i="26"/>
  <c r="E695" i="26"/>
  <c r="G695" i="26"/>
  <c r="C696" i="26"/>
  <c r="E696" i="26"/>
  <c r="G696" i="26"/>
  <c r="C697" i="26"/>
  <c r="E697" i="26"/>
  <c r="G697" i="26"/>
  <c r="C698" i="26"/>
  <c r="E698" i="26"/>
  <c r="G698" i="26"/>
  <c r="C699" i="26"/>
  <c r="E699" i="26"/>
  <c r="G699" i="26"/>
  <c r="C700" i="26"/>
  <c r="E700" i="26"/>
  <c r="G700" i="26"/>
  <c r="C701" i="26"/>
  <c r="E701" i="26"/>
  <c r="G701" i="26"/>
  <c r="C702" i="26"/>
  <c r="E702" i="26"/>
  <c r="G702" i="26"/>
  <c r="C708" i="26"/>
  <c r="E708" i="26"/>
  <c r="G708" i="26"/>
  <c r="C710" i="26"/>
  <c r="E710" i="26"/>
  <c r="G710" i="26"/>
  <c r="C713" i="26"/>
  <c r="E713" i="26"/>
  <c r="G713" i="26"/>
  <c r="C714" i="26"/>
  <c r="E714" i="26"/>
  <c r="G714" i="26"/>
  <c r="C715" i="26"/>
  <c r="E715" i="26"/>
  <c r="G715" i="26"/>
  <c r="C716" i="26"/>
  <c r="E716" i="26"/>
  <c r="G716" i="26"/>
  <c r="C717" i="26"/>
  <c r="E717" i="26"/>
  <c r="G717" i="26"/>
  <c r="C718" i="26"/>
  <c r="E718" i="26"/>
  <c r="G718" i="26"/>
  <c r="C719" i="26"/>
  <c r="E719" i="26"/>
  <c r="G719" i="26"/>
  <c r="C720" i="26"/>
  <c r="E720" i="26"/>
  <c r="G720" i="26"/>
  <c r="C721" i="26"/>
  <c r="E721" i="26"/>
  <c r="G721" i="26"/>
  <c r="C723" i="26"/>
  <c r="E723" i="26"/>
  <c r="G723" i="26"/>
  <c r="C725" i="26"/>
  <c r="E725" i="26"/>
  <c r="G725" i="26"/>
  <c r="C727" i="26"/>
  <c r="E727" i="26"/>
  <c r="G727" i="26"/>
  <c r="C728" i="26"/>
  <c r="E728" i="26"/>
  <c r="G728" i="26"/>
  <c r="C729" i="26"/>
  <c r="E729" i="26"/>
  <c r="G729" i="26"/>
  <c r="C730" i="26"/>
  <c r="E730" i="26"/>
  <c r="G730" i="26"/>
  <c r="C732" i="26"/>
  <c r="E732" i="26"/>
  <c r="G732" i="26"/>
  <c r="C733" i="26"/>
  <c r="E733" i="26"/>
  <c r="G733" i="26"/>
  <c r="C734" i="26"/>
  <c r="E734" i="26"/>
  <c r="G734" i="26"/>
  <c r="C735" i="26"/>
  <c r="E735" i="26"/>
  <c r="G735" i="26"/>
  <c r="C736" i="26"/>
  <c r="E736" i="26"/>
  <c r="G736" i="26"/>
  <c r="C737" i="26"/>
  <c r="E737" i="26"/>
  <c r="G737" i="26"/>
  <c r="C738" i="26"/>
  <c r="E95" i="17" s="1"/>
  <c r="E738" i="26"/>
  <c r="G738" i="26"/>
  <c r="C739" i="26"/>
  <c r="E739" i="26"/>
  <c r="G739" i="26"/>
  <c r="C740" i="26"/>
  <c r="E740" i="26"/>
  <c r="G740" i="26"/>
  <c r="C741" i="26"/>
  <c r="E741" i="26"/>
  <c r="G741" i="26"/>
  <c r="C743" i="26"/>
  <c r="E743" i="26"/>
  <c r="G743" i="26"/>
  <c r="C744" i="26"/>
  <c r="E744" i="26"/>
  <c r="G744" i="26"/>
  <c r="C745" i="26"/>
  <c r="E745" i="26"/>
  <c r="G745" i="26"/>
  <c r="C746" i="26"/>
  <c r="E746" i="26"/>
  <c r="G746" i="26"/>
  <c r="C747" i="26"/>
  <c r="E747" i="26"/>
  <c r="G747" i="26"/>
  <c r="C748" i="26"/>
  <c r="E748" i="26"/>
  <c r="G748" i="26"/>
  <c r="C750" i="26"/>
  <c r="E750" i="26"/>
  <c r="G750" i="26"/>
  <c r="C751" i="26"/>
  <c r="E751" i="26"/>
  <c r="G751" i="26"/>
  <c r="C752" i="26"/>
  <c r="E752" i="26"/>
  <c r="G752" i="26"/>
  <c r="C753" i="26"/>
  <c r="E753" i="26"/>
  <c r="G753" i="26"/>
  <c r="C754" i="26"/>
  <c r="E754" i="26"/>
  <c r="G754" i="26"/>
  <c r="C755" i="26"/>
  <c r="E755" i="26"/>
  <c r="G755" i="26"/>
  <c r="C756" i="26"/>
  <c r="E756" i="26"/>
  <c r="G756" i="26"/>
  <c r="C757" i="26"/>
  <c r="E757" i="26"/>
  <c r="G757" i="26"/>
  <c r="C758" i="26"/>
  <c r="E758" i="26"/>
  <c r="G758" i="26"/>
  <c r="C760" i="26"/>
  <c r="E760" i="26"/>
  <c r="G760" i="26"/>
  <c r="C761" i="26"/>
  <c r="E761" i="26"/>
  <c r="G761" i="26"/>
  <c r="C762" i="26"/>
  <c r="E96" i="17" s="1"/>
  <c r="E762" i="26"/>
  <c r="G762" i="26"/>
  <c r="C763" i="26"/>
  <c r="E763" i="26"/>
  <c r="G763" i="26"/>
  <c r="C765" i="26"/>
  <c r="E765" i="26"/>
  <c r="G765" i="26"/>
  <c r="C766" i="26"/>
  <c r="E766" i="26"/>
  <c r="G766" i="26"/>
  <c r="C768" i="26"/>
  <c r="E768" i="26"/>
  <c r="G768" i="26"/>
  <c r="C769" i="26"/>
  <c r="E769" i="26"/>
  <c r="G769" i="26"/>
  <c r="C770" i="26"/>
  <c r="E770" i="26"/>
  <c r="G770" i="26"/>
  <c r="C771" i="26"/>
  <c r="E771" i="26"/>
  <c r="G771" i="26"/>
  <c r="C772" i="26"/>
  <c r="E772" i="26"/>
  <c r="G772" i="26"/>
  <c r="C775" i="26"/>
  <c r="E775" i="26"/>
  <c r="G775" i="26"/>
  <c r="C776" i="26"/>
  <c r="E776" i="26"/>
  <c r="G776" i="26"/>
  <c r="C777" i="26"/>
  <c r="E777" i="26"/>
  <c r="G777" i="26"/>
  <c r="C778" i="26"/>
  <c r="E778" i="26"/>
  <c r="G778" i="26"/>
  <c r="C779" i="26"/>
  <c r="E779" i="26"/>
  <c r="G779" i="26"/>
  <c r="C780" i="26"/>
  <c r="E780" i="26"/>
  <c r="G780" i="26"/>
  <c r="C782" i="26"/>
  <c r="E782" i="26"/>
  <c r="G782" i="26"/>
  <c r="C784" i="26"/>
  <c r="E784" i="26"/>
  <c r="G784" i="26"/>
  <c r="C785" i="26"/>
  <c r="E785" i="26"/>
  <c r="G785" i="26"/>
  <c r="C786" i="26"/>
  <c r="E786" i="26"/>
  <c r="G786" i="26"/>
  <c r="C787" i="26"/>
  <c r="E787" i="26"/>
  <c r="G787" i="26"/>
  <c r="C788" i="26"/>
  <c r="E788" i="26"/>
  <c r="G788" i="26"/>
  <c r="C789" i="26"/>
  <c r="E789" i="26"/>
  <c r="G789" i="26"/>
  <c r="C790" i="26"/>
  <c r="E790" i="26"/>
  <c r="G790" i="26"/>
  <c r="C791" i="26"/>
  <c r="E791" i="26"/>
  <c r="G791" i="26"/>
  <c r="C792" i="26"/>
  <c r="E97" i="17" s="1"/>
  <c r="E792" i="26"/>
  <c r="G792" i="26"/>
  <c r="C794" i="26"/>
  <c r="E794" i="26"/>
  <c r="G794" i="26"/>
  <c r="C795" i="26"/>
  <c r="E795" i="26"/>
  <c r="G795" i="26"/>
  <c r="C796" i="26"/>
  <c r="E796" i="26"/>
  <c r="G796" i="26"/>
  <c r="C797" i="26"/>
  <c r="E797" i="26"/>
  <c r="G797" i="26"/>
  <c r="C798" i="26"/>
  <c r="E798" i="26"/>
  <c r="G798" i="26"/>
  <c r="C799" i="26"/>
  <c r="E799" i="26"/>
  <c r="G799" i="26"/>
  <c r="C800" i="26"/>
  <c r="E800" i="26"/>
  <c r="G800" i="26"/>
  <c r="C801" i="26"/>
  <c r="E801" i="26"/>
  <c r="G801" i="26"/>
  <c r="C802" i="26"/>
  <c r="E802" i="26"/>
  <c r="G802" i="26"/>
  <c r="C803" i="26"/>
  <c r="E803" i="26"/>
  <c r="G803" i="26"/>
  <c r="C805" i="26"/>
  <c r="E805" i="26"/>
  <c r="G805" i="26"/>
  <c r="C807" i="26"/>
  <c r="E807" i="26"/>
  <c r="G807" i="26"/>
  <c r="C808" i="26"/>
  <c r="E808" i="26"/>
  <c r="G808" i="26"/>
  <c r="C809" i="26"/>
  <c r="E809" i="26"/>
  <c r="G809" i="26"/>
  <c r="C810" i="26"/>
  <c r="E810" i="26"/>
  <c r="G810" i="26"/>
  <c r="C811" i="26"/>
  <c r="E811" i="26"/>
  <c r="G811" i="26"/>
  <c r="C813" i="26"/>
  <c r="E813" i="26"/>
  <c r="G813" i="26"/>
  <c r="C814" i="26"/>
  <c r="E814" i="26"/>
  <c r="G814" i="26"/>
  <c r="C815" i="26"/>
  <c r="E815" i="26"/>
  <c r="G815" i="26"/>
  <c r="C816" i="26"/>
  <c r="E816" i="26"/>
  <c r="G816" i="26"/>
  <c r="C817" i="26"/>
  <c r="E817" i="26"/>
  <c r="G817" i="26"/>
  <c r="C820" i="26"/>
  <c r="E820" i="26"/>
  <c r="G820" i="26"/>
  <c r="C821" i="26"/>
  <c r="E821" i="26"/>
  <c r="G821" i="26"/>
  <c r="C823" i="26"/>
  <c r="E823" i="26"/>
  <c r="G823" i="26"/>
  <c r="C824" i="26"/>
  <c r="E824" i="26"/>
  <c r="G824" i="26"/>
  <c r="C825" i="26"/>
  <c r="E825" i="26"/>
  <c r="G825" i="26"/>
  <c r="C827" i="26"/>
  <c r="E827" i="26"/>
  <c r="G827" i="26"/>
  <c r="C828" i="26"/>
  <c r="E828" i="26"/>
  <c r="G828" i="26"/>
  <c r="C830" i="26"/>
  <c r="E830" i="26"/>
  <c r="G830" i="26"/>
  <c r="C832" i="26"/>
  <c r="E832" i="26"/>
  <c r="G832" i="26"/>
  <c r="C833" i="26"/>
  <c r="E833" i="26"/>
  <c r="G833" i="26"/>
  <c r="C835" i="26"/>
  <c r="E835" i="26"/>
  <c r="G835" i="26"/>
  <c r="C836" i="26"/>
  <c r="E836" i="26"/>
  <c r="G836" i="26"/>
  <c r="C837" i="26"/>
  <c r="E837" i="26"/>
  <c r="G837" i="26"/>
  <c r="C838" i="26"/>
  <c r="E838" i="26"/>
  <c r="G838" i="26"/>
  <c r="C839" i="26"/>
  <c r="E839" i="26"/>
  <c r="G839" i="26"/>
  <c r="C841" i="26"/>
  <c r="E841" i="26"/>
  <c r="G841" i="26"/>
  <c r="C842" i="26"/>
  <c r="E842" i="26"/>
  <c r="G842" i="26"/>
  <c r="C843" i="26"/>
  <c r="E843" i="26"/>
  <c r="G843" i="26"/>
  <c r="C844" i="26"/>
  <c r="E844" i="26"/>
  <c r="G844" i="26"/>
  <c r="C845" i="26"/>
  <c r="E845" i="26"/>
  <c r="G845" i="26"/>
  <c r="C846" i="26"/>
  <c r="E846" i="26"/>
  <c r="G846" i="26"/>
  <c r="C848" i="26"/>
  <c r="E848" i="26"/>
  <c r="G848" i="26"/>
  <c r="C850" i="26"/>
  <c r="E850" i="26"/>
  <c r="G850" i="26"/>
  <c r="C851" i="26"/>
  <c r="E851" i="26"/>
  <c r="G851" i="26"/>
  <c r="C852" i="26"/>
  <c r="E852" i="26"/>
  <c r="G852" i="26"/>
  <c r="C853" i="26"/>
  <c r="E853" i="26"/>
  <c r="G853" i="26"/>
  <c r="C854" i="26"/>
  <c r="E854" i="26"/>
  <c r="G854" i="26"/>
  <c r="C855" i="26"/>
  <c r="E855" i="26"/>
  <c r="G855" i="26"/>
  <c r="C856" i="26"/>
  <c r="E856" i="26"/>
  <c r="G856" i="26"/>
  <c r="C858" i="26"/>
  <c r="E858" i="26"/>
  <c r="G858" i="26"/>
  <c r="C859" i="26"/>
  <c r="E859" i="26"/>
  <c r="G859" i="26"/>
  <c r="C860" i="26"/>
  <c r="E860" i="26"/>
  <c r="G860" i="26"/>
  <c r="C861" i="26"/>
  <c r="E861" i="26"/>
  <c r="G861" i="26"/>
  <c r="C862" i="26"/>
  <c r="E862" i="26"/>
  <c r="G862" i="26"/>
  <c r="C863" i="26"/>
  <c r="E863" i="26"/>
  <c r="G863" i="26"/>
  <c r="C865" i="26"/>
  <c r="E865" i="26"/>
  <c r="G865" i="26"/>
  <c r="C866" i="26"/>
  <c r="E866" i="26"/>
  <c r="G866" i="26"/>
  <c r="C867" i="26"/>
  <c r="E867" i="26"/>
  <c r="G867" i="26"/>
  <c r="C868" i="26"/>
  <c r="E868" i="26"/>
  <c r="G868" i="26"/>
  <c r="C869" i="26"/>
  <c r="E869" i="26"/>
  <c r="G869" i="26"/>
  <c r="C870" i="26"/>
  <c r="E870" i="26"/>
  <c r="G870" i="26"/>
  <c r="C871" i="26"/>
  <c r="E871" i="26"/>
  <c r="G871" i="26"/>
  <c r="C872" i="26"/>
  <c r="E872" i="26"/>
  <c r="G872" i="26"/>
  <c r="C873" i="26"/>
  <c r="E873" i="26"/>
  <c r="G873" i="26"/>
  <c r="C874" i="26"/>
  <c r="E874" i="26"/>
  <c r="G874" i="26"/>
  <c r="C875" i="26"/>
  <c r="E875" i="26"/>
  <c r="G875" i="26"/>
  <c r="C876" i="26"/>
  <c r="E876" i="26"/>
  <c r="G876" i="26"/>
  <c r="C877" i="26"/>
  <c r="E877" i="26"/>
  <c r="G877" i="26"/>
  <c r="C878" i="26"/>
  <c r="E878" i="26"/>
  <c r="G878" i="26"/>
  <c r="C879" i="26"/>
  <c r="E879" i="26"/>
  <c r="G879" i="26"/>
  <c r="C880" i="26"/>
  <c r="E880" i="26"/>
  <c r="G880" i="26"/>
  <c r="C881" i="26"/>
  <c r="E881" i="26"/>
  <c r="G881" i="26"/>
  <c r="C882" i="26"/>
  <c r="E882" i="26"/>
  <c r="G882" i="26"/>
  <c r="C883" i="26"/>
  <c r="E883" i="26"/>
  <c r="G883" i="26"/>
  <c r="C884" i="26"/>
  <c r="E884" i="26"/>
  <c r="G884" i="26"/>
  <c r="C885" i="26"/>
  <c r="E885" i="26"/>
  <c r="G885" i="26"/>
  <c r="C886" i="26"/>
  <c r="E886" i="26"/>
  <c r="G886" i="26"/>
  <c r="C887" i="26"/>
  <c r="E887" i="26"/>
  <c r="G887" i="26"/>
  <c r="C888" i="26"/>
  <c r="E888" i="26"/>
  <c r="G888" i="26"/>
  <c r="C889" i="26"/>
  <c r="E889" i="26"/>
  <c r="G889" i="26"/>
  <c r="C890" i="26"/>
  <c r="E890" i="26"/>
  <c r="G890" i="26"/>
  <c r="C891" i="26"/>
  <c r="E891" i="26"/>
  <c r="G891" i="26"/>
  <c r="C892" i="26"/>
  <c r="E892" i="26"/>
  <c r="G892" i="26"/>
  <c r="C893" i="26"/>
  <c r="E893" i="26"/>
  <c r="G893" i="26"/>
  <c r="C894" i="26"/>
  <c r="E894" i="26"/>
  <c r="G894" i="26"/>
  <c r="C895" i="26"/>
  <c r="E895" i="26"/>
  <c r="G895" i="26"/>
  <c r="C896" i="26"/>
  <c r="E896" i="26"/>
  <c r="G896" i="26"/>
  <c r="C897" i="26"/>
  <c r="E897" i="26"/>
  <c r="G897" i="26"/>
  <c r="C898" i="26"/>
  <c r="E898" i="26"/>
  <c r="G898" i="26"/>
  <c r="C899" i="26"/>
  <c r="E899" i="26"/>
  <c r="G899" i="26"/>
  <c r="C900" i="26"/>
  <c r="E900" i="26"/>
  <c r="G900" i="26"/>
  <c r="C901" i="26"/>
  <c r="E901" i="26"/>
  <c r="G901" i="26"/>
  <c r="C902" i="26"/>
  <c r="E902" i="26"/>
  <c r="G902" i="26"/>
  <c r="C903" i="26"/>
  <c r="E903" i="26"/>
  <c r="G903" i="26"/>
  <c r="C904" i="26"/>
  <c r="E904" i="26"/>
  <c r="G904" i="26"/>
  <c r="C905" i="26"/>
  <c r="E905" i="26"/>
  <c r="G905" i="26"/>
  <c r="C906" i="26"/>
  <c r="E906" i="26"/>
  <c r="G906" i="26"/>
  <c r="C907" i="26"/>
  <c r="E907" i="26"/>
  <c r="G907" i="26"/>
  <c r="C908" i="26"/>
  <c r="E908" i="26"/>
  <c r="G908" i="26"/>
  <c r="C910" i="26"/>
  <c r="E910" i="26"/>
  <c r="G910" i="26"/>
  <c r="C911" i="26"/>
  <c r="E911" i="26"/>
  <c r="G911" i="26"/>
  <c r="C913" i="26"/>
  <c r="E913" i="26"/>
  <c r="G913" i="26"/>
  <c r="C914" i="26"/>
  <c r="E914" i="26"/>
  <c r="G914" i="26"/>
  <c r="C915" i="26"/>
  <c r="E915" i="26"/>
  <c r="G915" i="26"/>
  <c r="C917" i="26"/>
  <c r="D917" i="26" s="1"/>
  <c r="E917" i="26"/>
  <c r="G917" i="26"/>
  <c r="C921" i="26"/>
  <c r="E921" i="26"/>
  <c r="G921" i="26"/>
  <c r="C922" i="26"/>
  <c r="E922" i="26"/>
  <c r="G922" i="26"/>
  <c r="C923" i="26"/>
  <c r="E923" i="26"/>
  <c r="G923" i="26"/>
  <c r="C924" i="26"/>
  <c r="E924" i="26"/>
  <c r="G924" i="26"/>
  <c r="C925" i="26"/>
  <c r="E925" i="26"/>
  <c r="G925" i="26"/>
  <c r="C926" i="26"/>
  <c r="E926" i="26"/>
  <c r="G926" i="26"/>
  <c r="C928" i="26"/>
  <c r="E928" i="26"/>
  <c r="G928" i="26"/>
  <c r="C929" i="26"/>
  <c r="E929" i="26"/>
  <c r="G929" i="26"/>
  <c r="C930" i="26"/>
  <c r="E930" i="26"/>
  <c r="G930" i="26"/>
  <c r="C931" i="26"/>
  <c r="E931" i="26"/>
  <c r="G931" i="26"/>
  <c r="C932" i="26"/>
  <c r="E932" i="26"/>
  <c r="G932" i="26"/>
  <c r="C933" i="26"/>
  <c r="E933" i="26"/>
  <c r="G933" i="26"/>
  <c r="C934" i="26"/>
  <c r="E934" i="26"/>
  <c r="G934" i="26"/>
  <c r="C936" i="26"/>
  <c r="E936" i="26"/>
  <c r="G936" i="26"/>
  <c r="C937" i="26"/>
  <c r="E937" i="26"/>
  <c r="G937" i="26"/>
  <c r="C938" i="26"/>
  <c r="E938" i="26"/>
  <c r="G938" i="26"/>
  <c r="C939" i="26"/>
  <c r="E939" i="26"/>
  <c r="G939" i="26"/>
  <c r="C940" i="26"/>
  <c r="E940" i="26"/>
  <c r="G940" i="26"/>
  <c r="C941" i="26"/>
  <c r="E941" i="26"/>
  <c r="G941" i="26"/>
  <c r="C942" i="26"/>
  <c r="E942" i="26"/>
  <c r="G942" i="26"/>
  <c r="C943" i="26"/>
  <c r="E943" i="26"/>
  <c r="G943" i="26"/>
  <c r="C945" i="26"/>
  <c r="E945" i="26"/>
  <c r="G945" i="26"/>
  <c r="C946" i="26"/>
  <c r="E946" i="26"/>
  <c r="G946" i="26"/>
  <c r="C947" i="26"/>
  <c r="E947" i="26"/>
  <c r="G947" i="26"/>
  <c r="C948" i="26"/>
  <c r="E948" i="26"/>
  <c r="G948" i="26"/>
  <c r="C949" i="26"/>
  <c r="E949" i="26"/>
  <c r="G949" i="26"/>
  <c r="C950" i="26"/>
  <c r="E950" i="26"/>
  <c r="G950" i="26"/>
  <c r="C952" i="26"/>
  <c r="E952" i="26"/>
  <c r="G952" i="26"/>
  <c r="C953" i="26"/>
  <c r="E953" i="26"/>
  <c r="G953" i="26"/>
  <c r="C954" i="26"/>
  <c r="E954" i="26"/>
  <c r="G954" i="26"/>
  <c r="C956" i="26"/>
  <c r="C14" i="3" s="1"/>
  <c r="E956" i="26"/>
  <c r="G956" i="26"/>
  <c r="C958" i="26"/>
  <c r="E958" i="26"/>
  <c r="G958" i="26"/>
  <c r="C960" i="26"/>
  <c r="E960" i="26"/>
  <c r="G960" i="26"/>
  <c r="C961" i="26"/>
  <c r="E961" i="26"/>
  <c r="G961" i="26"/>
  <c r="C962" i="26"/>
  <c r="E962" i="26"/>
  <c r="G962" i="26"/>
  <c r="C963" i="26"/>
  <c r="E963" i="26"/>
  <c r="G963" i="26"/>
  <c r="C964" i="26"/>
  <c r="E964" i="26"/>
  <c r="G964" i="26"/>
  <c r="C966" i="26"/>
  <c r="E966" i="26"/>
  <c r="G966" i="26"/>
  <c r="C967" i="26"/>
  <c r="E967" i="26"/>
  <c r="G967" i="26"/>
  <c r="C968" i="26"/>
  <c r="E968" i="26"/>
  <c r="G968" i="26"/>
  <c r="C969" i="26"/>
  <c r="E969" i="26"/>
  <c r="G969" i="26"/>
  <c r="C970" i="26"/>
  <c r="E970" i="26"/>
  <c r="G970" i="26"/>
  <c r="C971" i="26"/>
  <c r="E971" i="26"/>
  <c r="G971" i="26"/>
  <c r="C972" i="26"/>
  <c r="E972" i="26"/>
  <c r="G972" i="26"/>
  <c r="C973" i="26"/>
  <c r="E973" i="26"/>
  <c r="G973" i="26"/>
  <c r="C974" i="26"/>
  <c r="E974" i="26"/>
  <c r="G974" i="26"/>
  <c r="C975" i="26"/>
  <c r="E975" i="26"/>
  <c r="G975" i="26"/>
  <c r="C976" i="26"/>
  <c r="E976" i="26"/>
  <c r="G976" i="26"/>
  <c r="C977" i="26"/>
  <c r="E977" i="26"/>
  <c r="G977" i="26"/>
  <c r="C978" i="26"/>
  <c r="E978" i="26"/>
  <c r="G978" i="26"/>
  <c r="C979" i="26"/>
  <c r="E979" i="26"/>
  <c r="G979" i="26"/>
  <c r="C980" i="26"/>
  <c r="E980" i="26"/>
  <c r="G980" i="26"/>
  <c r="C981" i="26"/>
  <c r="E981" i="26"/>
  <c r="G981" i="26"/>
  <c r="C982" i="26"/>
  <c r="E982" i="26"/>
  <c r="G982" i="26"/>
  <c r="C984" i="26"/>
  <c r="E984" i="26"/>
  <c r="G984" i="26"/>
  <c r="C985" i="26"/>
  <c r="E985" i="26"/>
  <c r="G985" i="26"/>
  <c r="C987" i="26"/>
  <c r="E987" i="26"/>
  <c r="G987" i="26"/>
  <c r="C988" i="26"/>
  <c r="E988" i="26"/>
  <c r="G988" i="26"/>
  <c r="C989" i="26"/>
  <c r="E989" i="26"/>
  <c r="G989" i="26"/>
  <c r="C990" i="26"/>
  <c r="E990" i="26"/>
  <c r="G990" i="26"/>
  <c r="C991" i="26"/>
  <c r="E991" i="26"/>
  <c r="G991" i="26"/>
  <c r="C992" i="26"/>
  <c r="E992" i="26"/>
  <c r="G992" i="26"/>
  <c r="C993" i="26"/>
  <c r="E993" i="26"/>
  <c r="G993" i="26"/>
  <c r="C994" i="26"/>
  <c r="E994" i="26"/>
  <c r="G994" i="26"/>
  <c r="C995" i="26"/>
  <c r="E995" i="26"/>
  <c r="G995" i="26"/>
  <c r="C996" i="26"/>
  <c r="E996" i="26"/>
  <c r="G996" i="26"/>
  <c r="C997" i="26"/>
  <c r="E997" i="26"/>
  <c r="G997" i="26"/>
  <c r="C998" i="26"/>
  <c r="E998" i="26"/>
  <c r="G998" i="26"/>
  <c r="C999" i="26"/>
  <c r="E999" i="26"/>
  <c r="G999" i="26"/>
  <c r="C1000" i="26"/>
  <c r="E1000" i="26"/>
  <c r="G1000" i="26"/>
  <c r="C1001" i="26"/>
  <c r="E1001" i="26"/>
  <c r="G1001" i="26"/>
  <c r="C1002" i="26"/>
  <c r="E1002" i="26"/>
  <c r="G1002" i="26"/>
  <c r="C1003" i="26"/>
  <c r="E1003" i="26"/>
  <c r="G1003" i="26"/>
  <c r="C1004" i="26"/>
  <c r="E1004" i="26"/>
  <c r="G1004" i="26"/>
  <c r="C1005" i="26"/>
  <c r="E1005" i="26"/>
  <c r="G1005" i="26"/>
  <c r="C1006" i="26"/>
  <c r="E1006" i="26"/>
  <c r="G1006" i="26"/>
  <c r="C1007" i="26"/>
  <c r="E1007" i="26"/>
  <c r="G1007" i="26"/>
  <c r="C1008" i="26"/>
  <c r="E1008" i="26"/>
  <c r="G1008" i="26"/>
  <c r="C1009" i="26"/>
  <c r="E1009" i="26"/>
  <c r="G1009" i="26"/>
  <c r="C1010" i="26"/>
  <c r="E1010" i="26"/>
  <c r="G1010" i="26"/>
  <c r="C1011" i="26"/>
  <c r="E1011" i="26"/>
  <c r="G1011" i="26"/>
  <c r="C1012" i="26"/>
  <c r="E1012" i="26"/>
  <c r="G1012" i="26"/>
  <c r="C1013" i="26"/>
  <c r="E1013" i="26"/>
  <c r="G1013" i="26"/>
  <c r="C1014" i="26"/>
  <c r="E1014" i="26"/>
  <c r="G1014" i="26"/>
  <c r="C1015" i="26"/>
  <c r="E1015" i="26"/>
  <c r="G1015" i="26"/>
  <c r="C1016" i="26"/>
  <c r="E1016" i="26"/>
  <c r="G1016" i="26"/>
  <c r="C1017" i="26"/>
  <c r="E1017" i="26"/>
  <c r="G1017" i="26"/>
  <c r="C1018" i="26"/>
  <c r="E1018" i="26"/>
  <c r="G1018" i="26"/>
  <c r="C1019" i="26"/>
  <c r="E1019" i="26"/>
  <c r="G1019" i="26"/>
  <c r="C1020" i="26"/>
  <c r="E1020" i="26"/>
  <c r="G1020" i="26"/>
  <c r="C1021" i="26"/>
  <c r="E1021" i="26"/>
  <c r="G1021" i="26"/>
  <c r="C1022" i="26"/>
  <c r="E1022" i="26"/>
  <c r="G1022" i="26"/>
  <c r="C1023" i="26"/>
  <c r="E1023" i="26"/>
  <c r="G1023" i="26"/>
  <c r="C1024" i="26"/>
  <c r="E1024" i="26"/>
  <c r="G1024" i="26"/>
  <c r="C1025" i="26"/>
  <c r="E1025" i="26"/>
  <c r="G1025" i="26"/>
  <c r="C1026" i="26"/>
  <c r="E1026" i="26"/>
  <c r="G1026" i="26"/>
  <c r="C1027" i="26"/>
  <c r="E1027" i="26"/>
  <c r="G1027" i="26"/>
  <c r="C1028" i="26"/>
  <c r="E1028" i="26"/>
  <c r="G1028" i="26"/>
  <c r="C1029" i="26"/>
  <c r="E1029" i="26"/>
  <c r="G1029" i="26"/>
  <c r="C1030" i="26"/>
  <c r="E1030" i="26"/>
  <c r="G1030" i="26"/>
  <c r="C1032" i="26"/>
  <c r="E1032" i="26"/>
  <c r="G1032" i="26"/>
  <c r="C1033" i="26"/>
  <c r="E1033" i="26"/>
  <c r="G1033" i="26"/>
  <c r="C1034" i="26"/>
  <c r="E1034" i="26"/>
  <c r="G1034" i="26"/>
  <c r="C1035" i="26"/>
  <c r="E1035" i="26"/>
  <c r="G1035" i="26"/>
  <c r="C1036" i="26"/>
  <c r="E1036" i="26"/>
  <c r="G1036" i="26"/>
  <c r="C1037" i="26"/>
  <c r="E1037" i="26"/>
  <c r="G1037" i="26"/>
  <c r="C1038" i="26"/>
  <c r="E1038" i="26"/>
  <c r="G1038" i="26"/>
  <c r="C1039" i="26"/>
  <c r="E1039" i="26"/>
  <c r="G1039" i="26"/>
  <c r="C1040" i="26"/>
  <c r="E1040" i="26"/>
  <c r="G1040" i="26"/>
  <c r="C1041" i="26"/>
  <c r="E1041" i="26"/>
  <c r="G1041" i="26"/>
  <c r="C1042" i="26"/>
  <c r="E1042" i="26"/>
  <c r="G1042" i="26"/>
  <c r="C1043" i="26"/>
  <c r="E1043" i="26"/>
  <c r="G1043" i="26"/>
  <c r="C1044" i="26"/>
  <c r="E1044" i="26"/>
  <c r="G1044" i="26"/>
  <c r="D185" i="26" l="1"/>
  <c r="F185" i="26"/>
  <c r="E93" i="17"/>
  <c r="E92" i="17"/>
  <c r="F277" i="5"/>
  <c r="E99" i="17"/>
  <c r="E94" i="17"/>
  <c r="F11" i="26"/>
  <c r="D11" i="22" s="1"/>
  <c r="D29" i="26"/>
  <c r="H209" i="26"/>
  <c r="D6" i="26"/>
  <c r="H181" i="26"/>
  <c r="F181" i="26"/>
  <c r="H11" i="26"/>
  <c r="E11" i="22" s="1"/>
  <c r="H292" i="26"/>
  <c r="D11" i="26"/>
  <c r="F833" i="26"/>
  <c r="D181" i="26"/>
  <c r="D947" i="26"/>
  <c r="F6" i="26"/>
  <c r="F229" i="26"/>
  <c r="D839" i="26"/>
  <c r="F40" i="26"/>
  <c r="G17" i="5" s="1"/>
  <c r="D915" i="26"/>
  <c r="H40" i="26"/>
  <c r="H17" i="5" s="1"/>
  <c r="F242" i="26"/>
  <c r="D236" i="26"/>
  <c r="D40" i="26"/>
  <c r="F17" i="5" s="1"/>
  <c r="H964" i="26"/>
  <c r="H730" i="26"/>
  <c r="D833" i="26"/>
  <c r="H229" i="26"/>
  <c r="F274" i="26"/>
  <c r="F251" i="26"/>
  <c r="D259" i="26"/>
  <c r="H259" i="26"/>
  <c r="H821" i="26"/>
  <c r="F780" i="26"/>
  <c r="D772" i="26"/>
  <c r="H763" i="26"/>
  <c r="D68" i="26"/>
  <c r="D741" i="26"/>
  <c r="F821" i="26"/>
  <c r="F763" i="26"/>
  <c r="H46" i="26"/>
  <c r="D821" i="26"/>
  <c r="F792" i="26"/>
  <c r="D763" i="26"/>
  <c r="F173" i="26"/>
  <c r="H169" i="26"/>
  <c r="F46" i="26"/>
  <c r="F758" i="26"/>
  <c r="F169" i="26"/>
  <c r="D46" i="26"/>
  <c r="D251" i="26"/>
  <c r="F266" i="26"/>
  <c r="H139" i="26"/>
  <c r="D792" i="26"/>
  <c r="D926" i="26"/>
  <c r="F209" i="26"/>
  <c r="F139" i="26"/>
  <c r="F28" i="26"/>
  <c r="H274" i="26"/>
  <c r="D748" i="26"/>
  <c r="H863" i="26"/>
  <c r="H915" i="26"/>
  <c r="D229" i="26"/>
  <c r="D209" i="26"/>
  <c r="H198" i="26"/>
  <c r="H6" i="26"/>
  <c r="E10" i="22" s="1"/>
  <c r="F596" i="26"/>
  <c r="D950" i="26"/>
  <c r="F766" i="26"/>
  <c r="H947" i="26"/>
  <c r="F259" i="26"/>
  <c r="H157" i="26"/>
  <c r="H94" i="26"/>
  <c r="H21" i="26"/>
  <c r="D856" i="26"/>
  <c r="H803" i="26"/>
  <c r="D758" i="26"/>
  <c r="H748" i="26"/>
  <c r="H710" i="26"/>
  <c r="F710" i="26"/>
  <c r="G109" i="5" s="1"/>
  <c r="H280" i="26"/>
  <c r="H236" i="26"/>
  <c r="D224" i="26"/>
  <c r="F135" i="26"/>
  <c r="F21" i="26"/>
  <c r="D564" i="26"/>
  <c r="F94" i="26"/>
  <c r="D803" i="26"/>
  <c r="D198" i="26"/>
  <c r="H833" i="26"/>
  <c r="F118" i="26"/>
  <c r="D94" i="26"/>
  <c r="H266" i="26"/>
  <c r="H224" i="26"/>
  <c r="H52" i="26"/>
  <c r="D21" i="26"/>
  <c r="D964" i="26"/>
  <c r="D863" i="26"/>
  <c r="F856" i="26"/>
  <c r="D828" i="26"/>
  <c r="H792" i="26"/>
  <c r="F730" i="26"/>
  <c r="D609" i="26"/>
  <c r="F371" i="26"/>
  <c r="F284" i="26"/>
  <c r="D280" i="26"/>
  <c r="F52" i="26"/>
  <c r="F224" i="26"/>
  <c r="F497" i="26"/>
  <c r="D596" i="26"/>
  <c r="H856" i="26"/>
  <c r="H371" i="26"/>
  <c r="H846" i="26"/>
  <c r="D482" i="26"/>
  <c r="F355" i="26"/>
  <c r="F292" i="26"/>
  <c r="D284" i="26"/>
  <c r="D242" i="26"/>
  <c r="H152" i="26"/>
  <c r="D52" i="26"/>
  <c r="D941" i="26"/>
  <c r="D274" i="26"/>
  <c r="D118" i="26"/>
  <c r="H609" i="26"/>
  <c r="D139" i="26"/>
  <c r="H118" i="26"/>
  <c r="F482" i="26"/>
  <c r="F280" i="26"/>
  <c r="D982" i="26"/>
  <c r="H943" i="26"/>
  <c r="F828" i="26"/>
  <c r="H284" i="26"/>
  <c r="H982" i="26"/>
  <c r="D723" i="26"/>
  <c r="F609" i="26"/>
  <c r="H534" i="26"/>
  <c r="F534" i="26"/>
  <c r="D292" i="26"/>
  <c r="F236" i="26"/>
  <c r="F152" i="26"/>
  <c r="D135" i="26"/>
  <c r="H68" i="26"/>
  <c r="D169" i="26"/>
  <c r="D846" i="26"/>
  <c r="H1044" i="26"/>
  <c r="D954" i="26"/>
  <c r="H926" i="26"/>
  <c r="D710" i="26"/>
  <c r="H497" i="26"/>
  <c r="D1044" i="26"/>
  <c r="F1029" i="26"/>
  <c r="F911" i="26"/>
  <c r="H811" i="26"/>
  <c r="F772" i="26"/>
  <c r="H723" i="26"/>
  <c r="D534" i="26"/>
  <c r="D328" i="26"/>
  <c r="H328" i="26"/>
  <c r="H173" i="26"/>
  <c r="D152" i="26"/>
  <c r="H135" i="26"/>
  <c r="F68" i="26"/>
  <c r="H28" i="26"/>
  <c r="H355" i="26"/>
  <c r="H596" i="26"/>
  <c r="D371" i="26"/>
  <c r="F863" i="26"/>
  <c r="H766" i="26"/>
  <c r="D266" i="26"/>
  <c r="D811" i="26"/>
  <c r="D766" i="26"/>
  <c r="D1030" i="26"/>
  <c r="H839" i="26"/>
  <c r="H817" i="26"/>
  <c r="F811" i="26"/>
  <c r="D730" i="26"/>
  <c r="F723" i="26"/>
  <c r="D497" i="26"/>
  <c r="F328" i="26"/>
  <c r="D206" i="26"/>
  <c r="F157" i="26"/>
  <c r="H911" i="26"/>
  <c r="H251" i="26"/>
  <c r="H954" i="26"/>
  <c r="D911" i="26"/>
  <c r="H1030" i="26"/>
  <c r="F846" i="26"/>
  <c r="F839" i="26"/>
  <c r="H828" i="26"/>
  <c r="F817" i="26"/>
  <c r="F803" i="26"/>
  <c r="D780" i="26"/>
  <c r="H772" i="26"/>
  <c r="H758" i="26"/>
  <c r="F748" i="26"/>
  <c r="H564" i="26"/>
  <c r="H482" i="26"/>
  <c r="H242" i="26"/>
  <c r="H206" i="26"/>
  <c r="D173" i="26"/>
  <c r="D157" i="26"/>
  <c r="D817" i="26"/>
  <c r="H780" i="26"/>
  <c r="H741" i="26"/>
  <c r="F741" i="26"/>
  <c r="F564" i="26"/>
  <c r="D355" i="26"/>
  <c r="F206" i="26"/>
  <c r="F198" i="26"/>
  <c r="H949" i="26"/>
  <c r="D943" i="26"/>
  <c r="H346" i="5" l="1"/>
  <c r="H348" i="5" s="1"/>
  <c r="H354" i="5"/>
  <c r="G348" i="5"/>
  <c r="F348" i="5"/>
  <c r="E348" i="5"/>
  <c r="D348" i="5"/>
  <c r="F461" i="5" l="1"/>
  <c r="G413" i="5"/>
  <c r="F413" i="5"/>
  <c r="G244" i="5"/>
  <c r="D232" i="5"/>
  <c r="I232" i="5" s="1"/>
  <c r="G164" i="5"/>
  <c r="C16" i="22"/>
  <c r="G166" i="5" l="1"/>
  <c r="G168" i="5"/>
  <c r="G165" i="5" l="1"/>
  <c r="F26" i="1"/>
  <c r="D66" i="22" l="1"/>
  <c r="D31" i="22"/>
  <c r="D32" i="22" s="1"/>
  <c r="C25" i="22"/>
  <c r="C14" i="22" l="1"/>
  <c r="F29" i="1" l="1"/>
  <c r="F14" i="1"/>
  <c r="C82" i="22" l="1"/>
  <c r="D22" i="3"/>
  <c r="C22" i="3"/>
  <c r="F11" i="1"/>
  <c r="C21" i="1" l="1"/>
  <c r="C78" i="22" s="1"/>
  <c r="C35" i="3" l="1"/>
  <c r="C23" i="3"/>
  <c r="G245" i="5"/>
  <c r="G242" i="5"/>
  <c r="G243" i="5"/>
  <c r="G241" i="5"/>
  <c r="I244" i="5"/>
  <c r="H244" i="5" s="1"/>
  <c r="H235" i="5" l="1"/>
  <c r="C16" i="3" l="1"/>
  <c r="E31" i="3" l="1"/>
  <c r="E16" i="3"/>
  <c r="H180" i="5"/>
  <c r="E11" i="3" s="1"/>
  <c r="G388" i="5"/>
  <c r="G392" i="5" s="1"/>
  <c r="F391" i="5"/>
  <c r="G391" i="5"/>
  <c r="H362" i="5"/>
  <c r="G356" i="5"/>
  <c r="F356" i="5"/>
  <c r="E356" i="5"/>
  <c r="H356" i="5"/>
  <c r="D356" i="5"/>
  <c r="C352" i="5"/>
  <c r="H326" i="5"/>
  <c r="G326" i="5"/>
  <c r="F326" i="5"/>
  <c r="H334" i="5"/>
  <c r="G334" i="5"/>
  <c r="F334" i="5"/>
  <c r="E103" i="22" l="1"/>
  <c r="F33" i="5"/>
  <c r="F176" i="5"/>
  <c r="F177" i="5"/>
  <c r="F178" i="5"/>
  <c r="E235" i="5"/>
  <c r="C100" i="22" s="1"/>
  <c r="D21" i="20" s="1"/>
  <c r="F301" i="5"/>
  <c r="F34" i="5"/>
  <c r="F52" i="5"/>
  <c r="F60" i="5"/>
  <c r="F61" i="5"/>
  <c r="F62" i="5"/>
  <c r="F384" i="5" s="1"/>
  <c r="F392" i="5" s="1"/>
  <c r="F64" i="5"/>
  <c r="F72" i="5"/>
  <c r="F82" i="5"/>
  <c r="C55" i="22" s="1"/>
  <c r="F85" i="5"/>
  <c r="F88" i="5"/>
  <c r="F118" i="5"/>
  <c r="F134" i="5"/>
  <c r="F137" i="5"/>
  <c r="F149" i="5"/>
  <c r="F153" i="5"/>
  <c r="C26" i="1"/>
  <c r="C51" i="22" s="1"/>
  <c r="F193" i="5"/>
  <c r="C12" i="1"/>
  <c r="C30" i="22" s="1"/>
  <c r="F8" i="5"/>
  <c r="F10" i="5"/>
  <c r="F13" i="5"/>
  <c r="F14" i="5"/>
  <c r="E257" i="5"/>
  <c r="H169" i="5"/>
  <c r="E26" i="1" s="1"/>
  <c r="E51" i="22" s="1"/>
  <c r="F87" i="5"/>
  <c r="C57" i="22" s="1"/>
  <c r="H62" i="5"/>
  <c r="D82" i="22"/>
  <c r="E82" i="22"/>
  <c r="G8" i="5"/>
  <c r="G10" i="5"/>
  <c r="G13" i="5"/>
  <c r="G14" i="5"/>
  <c r="G15" i="5"/>
  <c r="H8" i="5"/>
  <c r="H10" i="5"/>
  <c r="H13" i="5"/>
  <c r="H14" i="5"/>
  <c r="E119" i="22"/>
  <c r="D115" i="22" s="1"/>
  <c r="H33" i="5"/>
  <c r="H34" i="5"/>
  <c r="H52" i="5"/>
  <c r="H60" i="5"/>
  <c r="H61" i="5"/>
  <c r="H64" i="5"/>
  <c r="H72" i="5"/>
  <c r="H82" i="5"/>
  <c r="H85" i="5"/>
  <c r="H87" i="5"/>
  <c r="E57" i="22" s="1"/>
  <c r="H88" i="5"/>
  <c r="H118" i="5"/>
  <c r="H134" i="5"/>
  <c r="H137" i="5"/>
  <c r="H149" i="5"/>
  <c r="H153" i="5"/>
  <c r="E73" i="22"/>
  <c r="E69" i="22"/>
  <c r="E12" i="1"/>
  <c r="E30" i="22" s="1"/>
  <c r="E33" i="22" s="1"/>
  <c r="F31" i="20"/>
  <c r="F32" i="20"/>
  <c r="D40" i="20"/>
  <c r="E40" i="20"/>
  <c r="D12" i="1"/>
  <c r="D30" i="22" s="1"/>
  <c r="D33" i="22" s="1"/>
  <c r="E15" i="20" s="1"/>
  <c r="G52" i="5"/>
  <c r="G60" i="5"/>
  <c r="G61" i="5"/>
  <c r="G62" i="5"/>
  <c r="G64" i="5"/>
  <c r="G72" i="5"/>
  <c r="G82" i="5"/>
  <c r="G85" i="5"/>
  <c r="G87" i="5"/>
  <c r="D57" i="22" s="1"/>
  <c r="G88" i="5"/>
  <c r="G118" i="5"/>
  <c r="G134" i="5"/>
  <c r="G137" i="5"/>
  <c r="G149" i="5"/>
  <c r="G153" i="5"/>
  <c r="D73" i="22"/>
  <c r="C22" i="22"/>
  <c r="F192" i="5"/>
  <c r="C17" i="22" s="1"/>
  <c r="D23" i="22"/>
  <c r="D26" i="22"/>
  <c r="C83" i="22"/>
  <c r="D84" i="22"/>
  <c r="D67" i="22"/>
  <c r="D69" i="22" s="1"/>
  <c r="C39" i="22"/>
  <c r="C45" i="22"/>
  <c r="C92" i="22"/>
  <c r="E39" i="22"/>
  <c r="E45" i="22"/>
  <c r="E92" i="22"/>
  <c r="C71" i="22"/>
  <c r="F208" i="5"/>
  <c r="C66" i="22"/>
  <c r="F194" i="5"/>
  <c r="F195" i="5"/>
  <c r="F278" i="5"/>
  <c r="C67" i="22" s="1"/>
  <c r="F280" i="5"/>
  <c r="D229" i="5"/>
  <c r="I229" i="5" s="1"/>
  <c r="D231" i="5"/>
  <c r="I231" i="5" s="1"/>
  <c r="D233" i="5"/>
  <c r="I233" i="5" s="1"/>
  <c r="C36" i="3"/>
  <c r="C37" i="3" s="1"/>
  <c r="E61" i="22"/>
  <c r="D61" i="22"/>
  <c r="C31" i="22"/>
  <c r="D92" i="22"/>
  <c r="E111" i="22"/>
  <c r="D39" i="22"/>
  <c r="D45" i="22"/>
  <c r="D111" i="22"/>
  <c r="C111" i="22"/>
  <c r="F11" i="5"/>
  <c r="F16" i="5"/>
  <c r="G11" i="5"/>
  <c r="H11" i="5"/>
  <c r="H193" i="5"/>
  <c r="H198" i="5" s="1"/>
  <c r="H278" i="5"/>
  <c r="H280" i="5"/>
  <c r="H281" i="5"/>
  <c r="H195" i="5"/>
  <c r="H476" i="5"/>
  <c r="H313" i="5"/>
  <c r="G316" i="5"/>
  <c r="G287" i="5"/>
  <c r="H301" i="5"/>
  <c r="G301" i="5" s="1"/>
  <c r="G247" i="5"/>
  <c r="G269" i="5"/>
  <c r="G235" i="5"/>
  <c r="F235" i="5"/>
  <c r="H257" i="5"/>
  <c r="G257" i="5"/>
  <c r="F257" i="5"/>
  <c r="D257" i="5"/>
  <c r="J256" i="5"/>
  <c r="H208" i="5"/>
  <c r="G208" i="5" s="1"/>
  <c r="G178" i="5"/>
  <c r="G176" i="5"/>
  <c r="A20" i="5"/>
  <c r="A40" i="5" s="1"/>
  <c r="A55" i="5" s="1"/>
  <c r="A75" i="5" s="1"/>
  <c r="A95" i="5" s="1"/>
  <c r="A112" i="5" s="1"/>
  <c r="A128" i="5" s="1"/>
  <c r="A142" i="5" s="1"/>
  <c r="A159" i="5" s="1"/>
  <c r="A171" i="5" s="1"/>
  <c r="H471" i="5"/>
  <c r="G471" i="5"/>
  <c r="F471" i="5"/>
  <c r="G409" i="5"/>
  <c r="F409" i="5"/>
  <c r="G380" i="5"/>
  <c r="F380" i="5"/>
  <c r="G305" i="5"/>
  <c r="G297" i="5"/>
  <c r="G273" i="5"/>
  <c r="B259" i="5"/>
  <c r="G213" i="5"/>
  <c r="H204" i="5"/>
  <c r="G204" i="5"/>
  <c r="F204" i="5"/>
  <c r="G187" i="5"/>
  <c r="G172" i="5"/>
  <c r="G34" i="5"/>
  <c r="A18" i="8"/>
  <c r="A244" i="12" s="1"/>
  <c r="E23" i="4"/>
  <c r="C21" i="4" s="1"/>
  <c r="D37" i="3"/>
  <c r="F169" i="5"/>
  <c r="A24" i="1"/>
  <c r="H305" i="5"/>
  <c r="F305" i="5"/>
  <c r="A1" i="3"/>
  <c r="A1" i="4"/>
  <c r="F213" i="5"/>
  <c r="F76" i="5"/>
  <c r="A3" i="4"/>
  <c r="G461" i="5"/>
  <c r="A2" i="12"/>
  <c r="F187" i="5"/>
  <c r="B228" i="5"/>
  <c r="B237" i="5" s="1"/>
  <c r="F56" i="5"/>
  <c r="F3" i="5"/>
  <c r="H172" i="5"/>
  <c r="F400" i="5"/>
  <c r="F424" i="5"/>
  <c r="F160" i="5"/>
  <c r="F21" i="5"/>
  <c r="C5" i="4"/>
  <c r="F41" i="5"/>
  <c r="F172" i="5"/>
  <c r="F273" i="5"/>
  <c r="F297" i="5"/>
  <c r="H76" i="5"/>
  <c r="G455" i="5"/>
  <c r="H143" i="5"/>
  <c r="H129" i="5"/>
  <c r="H113" i="5"/>
  <c r="H96" i="5"/>
  <c r="F143" i="5"/>
  <c r="F129" i="5"/>
  <c r="F113" i="5"/>
  <c r="F96" i="5"/>
  <c r="H21" i="5"/>
  <c r="H187" i="5"/>
  <c r="G424" i="5"/>
  <c r="E5" i="4"/>
  <c r="F455" i="5"/>
  <c r="G400" i="5"/>
  <c r="H273" i="5"/>
  <c r="H41" i="5"/>
  <c r="H160" i="5"/>
  <c r="H56" i="5"/>
  <c r="H297" i="5"/>
  <c r="H3" i="5"/>
  <c r="H213" i="5"/>
  <c r="G160" i="5"/>
  <c r="G41" i="5"/>
  <c r="G56" i="5"/>
  <c r="D5" i="4"/>
  <c r="G3" i="5"/>
  <c r="G76" i="5"/>
  <c r="G21" i="5"/>
  <c r="G143" i="5"/>
  <c r="G129" i="5"/>
  <c r="G113" i="5"/>
  <c r="G96" i="5"/>
  <c r="A1" i="1" l="1"/>
  <c r="B1" i="20"/>
  <c r="B4" i="18"/>
  <c r="G179" i="5"/>
  <c r="I241" i="5"/>
  <c r="H241" i="5" s="1"/>
  <c r="F191" i="5"/>
  <c r="C26" i="22" s="1"/>
  <c r="H302" i="5"/>
  <c r="G303" i="5" s="1"/>
  <c r="D21" i="3" s="1"/>
  <c r="F309" i="5"/>
  <c r="G309" i="5"/>
  <c r="G313" i="5" s="1"/>
  <c r="G317" i="5" s="1"/>
  <c r="I245" i="5"/>
  <c r="H245" i="5" s="1"/>
  <c r="I243" i="5"/>
  <c r="H243" i="5" s="1"/>
  <c r="G180" i="5"/>
  <c r="G476" i="5" s="1"/>
  <c r="F7" i="5"/>
  <c r="C53" i="22"/>
  <c r="G68" i="5"/>
  <c r="H68" i="5"/>
  <c r="F117" i="5"/>
  <c r="F83" i="5"/>
  <c r="F68" i="5"/>
  <c r="F47" i="5"/>
  <c r="F104" i="5"/>
  <c r="G123" i="5"/>
  <c r="F123" i="5"/>
  <c r="C27" i="1"/>
  <c r="C62" i="22" s="1"/>
  <c r="H123" i="5"/>
  <c r="F50" i="5"/>
  <c r="F317" i="5"/>
  <c r="G150" i="5"/>
  <c r="G66" i="5"/>
  <c r="H84" i="5"/>
  <c r="F148" i="5"/>
  <c r="F135" i="5"/>
  <c r="F86" i="5"/>
  <c r="G147" i="5"/>
  <c r="G133" i="5"/>
  <c r="F46" i="5"/>
  <c r="F152" i="5"/>
  <c r="C77" i="17" s="1"/>
  <c r="G138" i="5"/>
  <c r="G152" i="5"/>
  <c r="G139" i="5"/>
  <c r="G198" i="5"/>
  <c r="H138" i="5"/>
  <c r="H89" i="5"/>
  <c r="F81" i="5"/>
  <c r="F48" i="5"/>
  <c r="H124" i="5"/>
  <c r="H9" i="5"/>
  <c r="H106" i="5"/>
  <c r="H86" i="5"/>
  <c r="D100" i="22"/>
  <c r="E21" i="20" s="1"/>
  <c r="E26" i="20" s="1"/>
  <c r="H133" i="5"/>
  <c r="F103" i="5"/>
  <c r="H46" i="5"/>
  <c r="F139" i="5"/>
  <c r="G69" i="5"/>
  <c r="H139" i="5"/>
  <c r="G80" i="5"/>
  <c r="F136" i="5"/>
  <c r="G83" i="5"/>
  <c r="H70" i="5"/>
  <c r="F302" i="5"/>
  <c r="F303" i="5" s="1"/>
  <c r="C21" i="3" s="1"/>
  <c r="G154" i="5"/>
  <c r="G121" i="5"/>
  <c r="F125" i="5"/>
  <c r="G63" i="5"/>
  <c r="H121" i="5"/>
  <c r="G124" i="5"/>
  <c r="G46" i="5"/>
  <c r="F119" i="5"/>
  <c r="H277" i="5"/>
  <c r="H286" i="5" s="1"/>
  <c r="H15" i="5"/>
  <c r="H150" i="5"/>
  <c r="H67" i="5"/>
  <c r="F102" i="5"/>
  <c r="H83" i="5"/>
  <c r="F35" i="5"/>
  <c r="D23" i="4"/>
  <c r="E34" i="20"/>
  <c r="D230" i="5"/>
  <c r="I230" i="5" s="1"/>
  <c r="I257" i="5"/>
  <c r="E30" i="3" s="1"/>
  <c r="E32" i="3" s="1"/>
  <c r="F26" i="20"/>
  <c r="E104" i="22"/>
  <c r="D34" i="20"/>
  <c r="F34" i="20"/>
  <c r="D32" i="3"/>
  <c r="I26" i="1"/>
  <c r="D51" i="22"/>
  <c r="H48" i="5"/>
  <c r="H7" i="5"/>
  <c r="F101" i="5"/>
  <c r="G67" i="5"/>
  <c r="H100" i="5"/>
  <c r="F122" i="5"/>
  <c r="C74" i="17" s="1"/>
  <c r="F106" i="5"/>
  <c r="G100" i="5"/>
  <c r="H50" i="5"/>
  <c r="F150" i="5"/>
  <c r="F105" i="5"/>
  <c r="C73" i="17" s="1"/>
  <c r="F28" i="5"/>
  <c r="G102" i="5"/>
  <c r="G148" i="5"/>
  <c r="G101" i="5"/>
  <c r="G71" i="5"/>
  <c r="H119" i="5"/>
  <c r="H80" i="5"/>
  <c r="H69" i="5"/>
  <c r="G81" i="5"/>
  <c r="H63" i="5"/>
  <c r="C61" i="22"/>
  <c r="H147" i="5"/>
  <c r="G86" i="5"/>
  <c r="F9" i="5"/>
  <c r="F65" i="5"/>
  <c r="F49" i="5"/>
  <c r="G16" i="5"/>
  <c r="H102" i="5"/>
  <c r="E53" i="22"/>
  <c r="E85" i="22" s="1"/>
  <c r="F67" i="5"/>
  <c r="F51" i="5"/>
  <c r="C70" i="17" s="1"/>
  <c r="F25" i="5"/>
  <c r="H155" i="5"/>
  <c r="H105" i="5"/>
  <c r="G12" i="5"/>
  <c r="F84" i="5"/>
  <c r="F80" i="5"/>
  <c r="H152" i="5"/>
  <c r="G84" i="5"/>
  <c r="H154" i="5"/>
  <c r="H151" i="5"/>
  <c r="H107" i="5"/>
  <c r="H45" i="5"/>
  <c r="F121" i="5"/>
  <c r="G65" i="5"/>
  <c r="G48" i="5"/>
  <c r="H136" i="5"/>
  <c r="H71" i="5"/>
  <c r="F147" i="5"/>
  <c r="G29" i="5"/>
  <c r="G50" i="5"/>
  <c r="C13" i="3"/>
  <c r="C77" i="22" s="1"/>
  <c r="G27" i="5"/>
  <c r="D81" i="22"/>
  <c r="D85" i="22" s="1"/>
  <c r="E12" i="20" s="1"/>
  <c r="F32" i="5"/>
  <c r="H26" i="1"/>
  <c r="H288" i="5"/>
  <c r="G288" i="5" s="1"/>
  <c r="H108" i="5"/>
  <c r="H81" i="5"/>
  <c r="H65" i="5"/>
  <c r="F12" i="5"/>
  <c r="F151" i="5"/>
  <c r="B11" i="3"/>
  <c r="A186" i="5"/>
  <c r="H103" i="5"/>
  <c r="G28" i="5"/>
  <c r="F180" i="5"/>
  <c r="H317" i="5"/>
  <c r="E36" i="3" s="1"/>
  <c r="E37" i="3" s="1"/>
  <c r="G135" i="5"/>
  <c r="F45" i="5"/>
  <c r="F29" i="5"/>
  <c r="G103" i="5"/>
  <c r="H66" i="5"/>
  <c r="F107" i="5"/>
  <c r="C115" i="22"/>
  <c r="J43" i="20"/>
  <c r="J44" i="20" s="1"/>
  <c r="F138" i="5"/>
  <c r="C76" i="17" s="1"/>
  <c r="F133" i="5"/>
  <c r="C75" i="17" s="1"/>
  <c r="F108" i="5"/>
  <c r="F27" i="5"/>
  <c r="G151" i="5"/>
  <c r="G108" i="5"/>
  <c r="G107" i="5"/>
  <c r="G104" i="5"/>
  <c r="H47" i="5"/>
  <c r="F15" i="5"/>
  <c r="C15" i="3"/>
  <c r="C72" i="22" s="1"/>
  <c r="C73" i="22" s="1"/>
  <c r="G105" i="5"/>
  <c r="G45" i="5"/>
  <c r="H122" i="5"/>
  <c r="H120" i="5"/>
  <c r="H117" i="5"/>
  <c r="H49" i="5"/>
  <c r="F89" i="5"/>
  <c r="C72" i="17" s="1"/>
  <c r="F69" i="5"/>
  <c r="F63" i="5"/>
  <c r="F478" i="5"/>
  <c r="H125" i="5"/>
  <c r="H51" i="5"/>
  <c r="F155" i="5"/>
  <c r="F109" i="5"/>
  <c r="F156" i="5"/>
  <c r="F70" i="5"/>
  <c r="G25" i="5"/>
  <c r="G117" i="5"/>
  <c r="H156" i="5"/>
  <c r="H148" i="5"/>
  <c r="H101" i="5"/>
  <c r="F120" i="5"/>
  <c r="H109" i="5"/>
  <c r="H12" i="5"/>
  <c r="G47" i="5"/>
  <c r="G122" i="5"/>
  <c r="G49" i="5"/>
  <c r="H135" i="5"/>
  <c r="C32" i="22"/>
  <c r="C33" i="22" s="1"/>
  <c r="D15" i="20" s="1"/>
  <c r="F198" i="5"/>
  <c r="F71" i="5"/>
  <c r="C71" i="17" s="1"/>
  <c r="H104" i="5"/>
  <c r="G136" i="5"/>
  <c r="G35" i="5"/>
  <c r="G120" i="5"/>
  <c r="G70" i="5"/>
  <c r="G9" i="5"/>
  <c r="F66" i="5"/>
  <c r="F281" i="5"/>
  <c r="H29" i="5"/>
  <c r="G125" i="5"/>
  <c r="G51" i="5"/>
  <c r="H28" i="5"/>
  <c r="G155" i="5"/>
  <c r="G106" i="5"/>
  <c r="G89" i="5"/>
  <c r="H27" i="5"/>
  <c r="G119" i="5"/>
  <c r="F124" i="5"/>
  <c r="G156" i="5"/>
  <c r="F154" i="5"/>
  <c r="F100" i="5"/>
  <c r="G169" i="5"/>
  <c r="B2" i="19"/>
  <c r="A10" i="12"/>
  <c r="C80" i="17" l="1"/>
  <c r="E80" i="17" s="1"/>
  <c r="E89" i="17" s="1"/>
  <c r="E100" i="17" s="1"/>
  <c r="F318" i="5"/>
  <c r="F310" i="5"/>
  <c r="F313" i="5" s="1"/>
  <c r="I242" i="5"/>
  <c r="H242" i="5" s="1"/>
  <c r="F288" i="5"/>
  <c r="C84" i="22"/>
  <c r="D26" i="20"/>
  <c r="C23" i="22"/>
  <c r="D104" i="22"/>
  <c r="C10" i="22"/>
  <c r="F196" i="5"/>
  <c r="H303" i="5"/>
  <c r="E21" i="3" s="1"/>
  <c r="F36" i="5"/>
  <c r="C17" i="1" s="1"/>
  <c r="D11" i="3"/>
  <c r="D119" i="22" s="1"/>
  <c r="I43" i="20" s="1"/>
  <c r="E43" i="20" s="1"/>
  <c r="I44" i="20" s="1"/>
  <c r="H140" i="5"/>
  <c r="E24" i="1" s="1"/>
  <c r="I235" i="5"/>
  <c r="D235" i="5"/>
  <c r="I269" i="5"/>
  <c r="H269" i="5"/>
  <c r="H90" i="5"/>
  <c r="E20" i="1" s="1"/>
  <c r="H36" i="5"/>
  <c r="E17" i="1" s="1"/>
  <c r="F53" i="5"/>
  <c r="C18" i="1" s="1"/>
  <c r="F18" i="5"/>
  <c r="G73" i="5"/>
  <c r="D19" i="1" s="1"/>
  <c r="G157" i="5"/>
  <c r="D25" i="1" s="1"/>
  <c r="I25" i="1" s="1"/>
  <c r="F30" i="5"/>
  <c r="F110" i="5"/>
  <c r="C22" i="1" s="1"/>
  <c r="H22" i="1" s="1"/>
  <c r="G283" i="5"/>
  <c r="D20" i="3" s="1"/>
  <c r="F157" i="5"/>
  <c r="C25" i="1" s="1"/>
  <c r="H25" i="1" s="1"/>
  <c r="G36" i="5"/>
  <c r="D17" i="1" s="1"/>
  <c r="H30" i="5"/>
  <c r="G90" i="5"/>
  <c r="D20" i="1" s="1"/>
  <c r="I20" i="1" s="1"/>
  <c r="H110" i="5"/>
  <c r="E22" i="1" s="1"/>
  <c r="H157" i="5"/>
  <c r="E25" i="1" s="1"/>
  <c r="F73" i="5"/>
  <c r="C19" i="1" s="1"/>
  <c r="F19" i="1" s="1"/>
  <c r="G29" i="1" s="1"/>
  <c r="H283" i="5"/>
  <c r="G110" i="5"/>
  <c r="D22" i="1" s="1"/>
  <c r="I22" i="1" s="1"/>
  <c r="H126" i="5"/>
  <c r="E23" i="1" s="1"/>
  <c r="F126" i="5"/>
  <c r="C23" i="1" s="1"/>
  <c r="D10" i="22"/>
  <c r="G7" i="5"/>
  <c r="G18" i="5" s="1"/>
  <c r="G10" i="1" s="1"/>
  <c r="G140" i="5"/>
  <c r="D24" i="1" s="1"/>
  <c r="I24" i="1" s="1"/>
  <c r="C11" i="22"/>
  <c r="H53" i="5"/>
  <c r="E18" i="1" s="1"/>
  <c r="H73" i="5"/>
  <c r="E19" i="1" s="1"/>
  <c r="H18" i="5"/>
  <c r="H318" i="5"/>
  <c r="G318" i="5"/>
  <c r="G53" i="5"/>
  <c r="D18" i="1" s="1"/>
  <c r="I18" i="1" s="1"/>
  <c r="F140" i="5"/>
  <c r="C24" i="1" s="1"/>
  <c r="H24" i="1" s="1"/>
  <c r="C23" i="4"/>
  <c r="C22" i="4" s="1"/>
  <c r="C11" i="3"/>
  <c r="F476" i="5"/>
  <c r="A203" i="5"/>
  <c r="A212" i="5" s="1"/>
  <c r="B12" i="3"/>
  <c r="E18" i="22"/>
  <c r="C81" i="22"/>
  <c r="F90" i="5"/>
  <c r="C20" i="1" s="1"/>
  <c r="H20" i="1" s="1"/>
  <c r="I247" i="5"/>
  <c r="C30" i="3" s="1"/>
  <c r="H290" i="5"/>
  <c r="G286" i="5"/>
  <c r="G290" i="5" s="1"/>
  <c r="G126" i="5"/>
  <c r="D23" i="1" s="1"/>
  <c r="G196" i="5"/>
  <c r="G199" i="5" s="1"/>
  <c r="G200" i="5" s="1"/>
  <c r="D12" i="3" s="1"/>
  <c r="H196" i="5"/>
  <c r="E12" i="3" s="1"/>
  <c r="E17" i="3" s="1"/>
  <c r="G30" i="5"/>
  <c r="H38" i="5" l="1"/>
  <c r="C18" i="22"/>
  <c r="D9" i="20" s="1"/>
  <c r="C85" i="22"/>
  <c r="D12" i="20" s="1"/>
  <c r="H247" i="5"/>
  <c r="C32" i="3"/>
  <c r="H23" i="1"/>
  <c r="G23" i="1"/>
  <c r="I23" i="1" s="1"/>
  <c r="F18" i="1"/>
  <c r="H18" i="1" s="1"/>
  <c r="F10" i="1"/>
  <c r="I19" i="1"/>
  <c r="H19" i="1"/>
  <c r="F38" i="5"/>
  <c r="F199" i="5"/>
  <c r="F200" i="5" s="1"/>
  <c r="C12" i="3" s="1"/>
  <c r="F477" i="5"/>
  <c r="F480" i="5" s="1"/>
  <c r="C10" i="1"/>
  <c r="F9" i="1" s="1"/>
  <c r="E28" i="1"/>
  <c r="E64" i="22" s="1"/>
  <c r="E75" i="22" s="1"/>
  <c r="D17" i="3"/>
  <c r="H484" i="5"/>
  <c r="G488" i="5" s="1"/>
  <c r="E20" i="3"/>
  <c r="C11" i="1"/>
  <c r="C21" i="22" s="1"/>
  <c r="C27" i="22" s="1"/>
  <c r="D10" i="20" s="1"/>
  <c r="E11" i="1"/>
  <c r="E21" i="22" s="1"/>
  <c r="E27" i="22" s="1"/>
  <c r="C28" i="1"/>
  <c r="C50" i="22" s="1"/>
  <c r="D18" i="22"/>
  <c r="E9" i="20" s="1"/>
  <c r="D10" i="1"/>
  <c r="D11" i="1"/>
  <c r="D21" i="22" s="1"/>
  <c r="D27" i="22" s="1"/>
  <c r="E10" i="20" s="1"/>
  <c r="G38" i="5"/>
  <c r="H200" i="5"/>
  <c r="B16" i="3"/>
  <c r="A226" i="5"/>
  <c r="C119" i="22"/>
  <c r="H43" i="20" s="1"/>
  <c r="D43" i="20" s="1"/>
  <c r="H44" i="20" s="1"/>
  <c r="H10" i="1"/>
  <c r="E10" i="1"/>
  <c r="D28" i="1"/>
  <c r="D50" i="22" s="1"/>
  <c r="C64" i="22" l="1"/>
  <c r="F28" i="1"/>
  <c r="G28" i="1" s="1"/>
  <c r="C17" i="3"/>
  <c r="D64" i="22"/>
  <c r="D75" i="22" s="1"/>
  <c r="H488" i="5"/>
  <c r="D24" i="3"/>
  <c r="D26" i="3" s="1"/>
  <c r="D39" i="3" s="1"/>
  <c r="E24" i="3"/>
  <c r="E26" i="3" s="1"/>
  <c r="E39" i="3" s="1"/>
  <c r="C14" i="1"/>
  <c r="C30" i="1" s="1"/>
  <c r="C12" i="4" s="1"/>
  <c r="C47" i="22"/>
  <c r="E47" i="22"/>
  <c r="E14" i="1"/>
  <c r="E94" i="22"/>
  <c r="F36" i="20"/>
  <c r="G37" i="20" s="1"/>
  <c r="A272" i="5"/>
  <c r="B30" i="3"/>
  <c r="G480" i="5"/>
  <c r="H480" i="5"/>
  <c r="D47" i="22"/>
  <c r="D14" i="1"/>
  <c r="D30" i="1" s="1"/>
  <c r="D34" i="1" s="1"/>
  <c r="D12" i="4" s="1"/>
  <c r="D94" i="22" l="1"/>
  <c r="E13" i="20"/>
  <c r="E30" i="1"/>
  <c r="E34" i="1" s="1"/>
  <c r="E12" i="4" s="1"/>
  <c r="E16" i="4" s="1"/>
  <c r="E17" i="20"/>
  <c r="E36" i="20" s="1"/>
  <c r="E96" i="22"/>
  <c r="E113" i="22" s="1"/>
  <c r="E121" i="22" s="1"/>
  <c r="C34" i="1"/>
  <c r="G34" i="1" s="1"/>
  <c r="D96" i="22"/>
  <c r="D113" i="22" s="1"/>
  <c r="D117" i="22" s="1"/>
  <c r="D121" i="22" s="1"/>
  <c r="A296" i="5"/>
  <c r="B20" i="3"/>
  <c r="E25" i="4" l="1"/>
  <c r="E42" i="3" s="1"/>
  <c r="E50" i="3" s="1"/>
  <c r="C10" i="4"/>
  <c r="C16" i="4" s="1"/>
  <c r="C18" i="4" s="1"/>
  <c r="D10" i="4"/>
  <c r="D16" i="4" s="1"/>
  <c r="D18" i="4" s="1"/>
  <c r="E18" i="4"/>
  <c r="A305" i="5"/>
  <c r="B21" i="3"/>
  <c r="C25" i="4" l="1"/>
  <c r="C42" i="3" s="1"/>
  <c r="D25" i="4"/>
  <c r="D42" i="3" s="1"/>
  <c r="D50" i="3" s="1"/>
  <c r="A322" i="5"/>
  <c r="B35" i="3" s="1"/>
  <c r="B23" i="3" s="1"/>
  <c r="A337" i="5" l="1"/>
  <c r="A364" i="5" s="1"/>
  <c r="A374" i="5" s="1"/>
  <c r="A418" i="5" s="1"/>
  <c r="A437" i="5" s="1"/>
  <c r="A442" i="5" s="1"/>
  <c r="A463" i="5" s="1"/>
  <c r="A466" i="5" s="1"/>
  <c r="A491" i="5" s="1"/>
  <c r="C104" i="22"/>
  <c r="F283" i="5"/>
  <c r="C20" i="3" s="1"/>
  <c r="F286" i="5"/>
  <c r="F290" i="5" s="1"/>
  <c r="C24" i="3" l="1"/>
  <c r="C69" i="22"/>
  <c r="C75" i="22" s="1"/>
  <c r="F484" i="5"/>
  <c r="F488" i="5" s="1"/>
  <c r="C94" i="22" l="1"/>
  <c r="C96" i="22" s="1"/>
  <c r="C113" i="22" s="1"/>
  <c r="C117" i="22" s="1"/>
  <c r="C121" i="22" s="1"/>
  <c r="D13" i="20"/>
  <c r="D17" i="20" s="1"/>
  <c r="D36" i="20" s="1"/>
  <c r="G43" i="20" s="1"/>
  <c r="C26" i="3"/>
  <c r="C39" i="3" s="1"/>
  <c r="C50" i="3" s="1"/>
</calcChain>
</file>

<file path=xl/sharedStrings.xml><?xml version="1.0" encoding="utf-8"?>
<sst xmlns="http://schemas.openxmlformats.org/spreadsheetml/2006/main" count="2311" uniqueCount="1366">
  <si>
    <t>c) Revenue recognition</t>
  </si>
  <si>
    <t>Interest revenue</t>
  </si>
  <si>
    <t>Cash flows from Investing Activities</t>
  </si>
  <si>
    <t>Proceeds from Sale of PPE (and Intangibles)</t>
  </si>
  <si>
    <t>Purchase of PPE (and Intangibles)</t>
  </si>
  <si>
    <t>Purchase of Investments</t>
  </si>
  <si>
    <t>Proceeds from Sale of Investments</t>
  </si>
  <si>
    <t>Net cash from /  (to) the Investing Activities</t>
  </si>
  <si>
    <t>Cash flows from Financing Activities</t>
  </si>
  <si>
    <t>Furniture and Equipment Grant</t>
  </si>
  <si>
    <t>Finance Lease Payments</t>
  </si>
  <si>
    <t xml:space="preserve">Painting contract payments </t>
  </si>
  <si>
    <t>Loans Received/ Repayment of Loans</t>
  </si>
  <si>
    <t>Net cash from Financing Activities</t>
  </si>
  <si>
    <t>Net increase/(decrease) in cash and cash equivalents</t>
  </si>
  <si>
    <t>Abridged Trial Balance</t>
  </si>
  <si>
    <t>Cash and cash equivalents at the beginning of the year</t>
  </si>
  <si>
    <t>Cash and cash equivalents at the end of the year</t>
  </si>
  <si>
    <t>The above Cash Flow Statement should be read in conjunction with the accompanying notes.</t>
  </si>
  <si>
    <r>
      <t>Goods and Services Tax (</t>
    </r>
    <r>
      <rPr>
        <sz val="10"/>
        <rFont val="Arial"/>
        <family val="2"/>
      </rPr>
      <t>net</t>
    </r>
    <r>
      <rPr>
        <sz val="10"/>
        <color indexed="8"/>
        <rFont val="Arial"/>
        <family val="2"/>
      </rPr>
      <t>)</t>
    </r>
  </si>
  <si>
    <t>PBE Accounting Standards Reduced Disclosure Regime</t>
  </si>
  <si>
    <t>These financial statements are presented in New Zealand dollars, rounded to the nearest dollar.</t>
  </si>
  <si>
    <t>Ent</t>
  </si>
  <si>
    <t>BOT Election Grant</t>
  </si>
  <si>
    <t>Attached Teachers RVI</t>
  </si>
  <si>
    <t>Attached Teachers RVI Travel</t>
  </si>
  <si>
    <t>DOA - Board Support</t>
  </si>
  <si>
    <t>DOA - Assessment &amp; Training</t>
  </si>
  <si>
    <t>ECC Moderate Bldg Knowledge</t>
  </si>
  <si>
    <t>ECC Moderate Dom</t>
  </si>
  <si>
    <t>ORS - Homai Campus School</t>
  </si>
  <si>
    <t>ORS - Aggregated (Admin)</t>
  </si>
  <si>
    <t>ORS - Aggregated (Travel)</t>
  </si>
  <si>
    <t>ORS Aggregated (Base)</t>
  </si>
  <si>
    <t>ECC Grants</t>
  </si>
  <si>
    <t>ECC Expense Recoveries</t>
  </si>
  <si>
    <t>Playground Donations&amp;Grants</t>
  </si>
  <si>
    <t>ECC Expenses (Grant)</t>
  </si>
  <si>
    <t>RNZF Reimbursements</t>
  </si>
  <si>
    <t>Auckland South VRC Income</t>
  </si>
  <si>
    <t>Auckland South VRC Expenses</t>
  </si>
  <si>
    <t>Northland VRC Income</t>
  </si>
  <si>
    <t>Northland VRC Expenses</t>
  </si>
  <si>
    <t>Auckland North VRC Income</t>
  </si>
  <si>
    <t>Auckland North VRC Expenses</t>
  </si>
  <si>
    <t>Nelson VRC - Income</t>
  </si>
  <si>
    <t>Nelson VRC Expenses</t>
  </si>
  <si>
    <t>Otago VRC - Income</t>
  </si>
  <si>
    <t>Otago VRC - Expenses</t>
  </si>
  <si>
    <t>Southland VRC - Income</t>
  </si>
  <si>
    <t>Southland VRC - Expenses</t>
  </si>
  <si>
    <t>Christchurch VRC - Income</t>
  </si>
  <si>
    <t>Christchurch VRC - Expenses</t>
  </si>
  <si>
    <t>Palmerston North VRC - Income</t>
  </si>
  <si>
    <t>Hamilton VRC - Income</t>
  </si>
  <si>
    <t>Music Income</t>
  </si>
  <si>
    <t>Vehicle Rental/Lease</t>
  </si>
  <si>
    <t>Vehicle Rental/ Lease</t>
  </si>
  <si>
    <t>Vehicle Rental</t>
  </si>
  <si>
    <t>Legal Fees</t>
  </si>
  <si>
    <t>ASB Term Investment 87</t>
  </si>
  <si>
    <t>ASB Term Investment 89</t>
  </si>
  <si>
    <t>Work in progress playground</t>
  </si>
  <si>
    <t>Work in progress</t>
  </si>
  <si>
    <t>Hamilton VRC - Expenses</t>
  </si>
  <si>
    <t>Tauranga VRC - Income</t>
  </si>
  <si>
    <t>Tauranga VRC - Expenses</t>
  </si>
  <si>
    <t>Taranaki VRC - Income</t>
  </si>
  <si>
    <t>Taranaki VRC - Expenses</t>
  </si>
  <si>
    <t>Napier VRC - Income</t>
  </si>
  <si>
    <t>Napier VRC - Expenses</t>
  </si>
  <si>
    <t>Gisborne VRC - Income</t>
  </si>
  <si>
    <t>Gisborne VRC - Expenses</t>
  </si>
  <si>
    <t>Wellington VRC - Income</t>
  </si>
  <si>
    <t>Wellington VRC - Expenses</t>
  </si>
  <si>
    <t>Salaries - Banked Staffing Under-usage</t>
  </si>
  <si>
    <t>Programme Costs</t>
  </si>
  <si>
    <t>Premises Rental - Kelburn</t>
  </si>
  <si>
    <t>Regional Stationery</t>
  </si>
  <si>
    <t>ITM - Salary</t>
  </si>
  <si>
    <t>Music School Contract Workers</t>
  </si>
  <si>
    <t>ITM - Travel Reimbursements</t>
  </si>
  <si>
    <t>ITM - Equip Maintenance</t>
  </si>
  <si>
    <t>ITM - Consumables</t>
  </si>
  <si>
    <t>Recent Vision Loss</t>
  </si>
  <si>
    <t>K700</t>
  </si>
  <si>
    <t>Name:</t>
  </si>
  <si>
    <t>Cash from Operating Activities</t>
  </si>
  <si>
    <t>Operating Receipts</t>
  </si>
  <si>
    <t>(a) Government Grants</t>
  </si>
  <si>
    <t>Plus</t>
  </si>
  <si>
    <t>Less</t>
  </si>
  <si>
    <t>Risk Management Levy</t>
  </si>
  <si>
    <t>Code 0146</t>
  </si>
  <si>
    <t>International Student Levy</t>
  </si>
  <si>
    <t>Code 0145</t>
  </si>
  <si>
    <t>MOE Portion Teacher Laptops</t>
  </si>
  <si>
    <t>Code 0148</t>
  </si>
  <si>
    <t>Opening banking staffing debtor</t>
  </si>
  <si>
    <t>Opening Sundry Debtor</t>
  </si>
  <si>
    <t>Closing Sundry Debtor</t>
  </si>
  <si>
    <t>=</t>
  </si>
  <si>
    <t>(b) Other Revenue</t>
  </si>
  <si>
    <t>Local Funds Income</t>
  </si>
  <si>
    <t>Opening Income in Advance</t>
  </si>
  <si>
    <t>Closing Income in Advance</t>
  </si>
  <si>
    <t>Other Opening Sundry Debtor</t>
  </si>
  <si>
    <t>Other Closing Sundry Debtor</t>
  </si>
  <si>
    <t>Local Funds</t>
  </si>
  <si>
    <t>© Interest Received</t>
  </si>
  <si>
    <t>(d) International Students</t>
  </si>
  <si>
    <t>International Students Income</t>
  </si>
  <si>
    <t>(e) Hostel Fees</t>
  </si>
  <si>
    <t>Hostel Fees</t>
  </si>
  <si>
    <t>Total Receipts</t>
  </si>
  <si>
    <t>Payment to Suppliers</t>
  </si>
  <si>
    <t>(a) Total Expenditure (Per income Statement)</t>
  </si>
  <si>
    <t>Amortisation</t>
  </si>
  <si>
    <t>Movement</t>
  </si>
  <si>
    <t>Adjustment</t>
  </si>
  <si>
    <t>Other adjustment</t>
  </si>
  <si>
    <t>Total Payroll in Accounts</t>
  </si>
  <si>
    <t>Bad Debts</t>
  </si>
  <si>
    <t>Provision of Cyclical Maintenance (+ Decreased)</t>
  </si>
  <si>
    <t>PMS Liability increase plus loan repaid</t>
  </si>
  <si>
    <t>Use of Land &amp; Buildings</t>
  </si>
  <si>
    <t>Assets Write Off</t>
  </si>
  <si>
    <t>Code 2920</t>
  </si>
  <si>
    <t>Interest Paid Include Finance Lease interest</t>
  </si>
  <si>
    <t>Opening Creditors</t>
  </si>
  <si>
    <t>GST Exempt 2013</t>
  </si>
  <si>
    <t>Closing Creditors</t>
  </si>
  <si>
    <t>GST Exempt 2014</t>
  </si>
  <si>
    <t>Excludes Assets Creditors)</t>
  </si>
  <si>
    <t>Prepayment Movement (+ Increase / - Decrease)</t>
  </si>
  <si>
    <t>Stock Movement (+ Increase / - Decrease)</t>
  </si>
  <si>
    <t>Total Supplies</t>
  </si>
  <si>
    <t>Net GST (Plus if Debtors increase, minus if Creditors increases)</t>
  </si>
  <si>
    <t>Plus Interest Paid (Above)</t>
  </si>
  <si>
    <t>(b) Payments to Employees</t>
  </si>
  <si>
    <t>Total in accounts (above)</t>
  </si>
  <si>
    <t>Teachers Payroll Grant</t>
  </si>
  <si>
    <t>Total Payment to Employees</t>
  </si>
  <si>
    <t>© Net Funds Administered on Behalf of Third Parties</t>
  </si>
  <si>
    <t>Plus / Less</t>
  </si>
  <si>
    <t>Work in Progress Movement (D Codes)</t>
  </si>
  <si>
    <t>Third Parties eg RTLB</t>
  </si>
  <si>
    <t>Decrease in Creditors (Minus Increase)</t>
  </si>
  <si>
    <t>Decrease in Debtors (Plus Increase)</t>
  </si>
  <si>
    <t>Total Payments</t>
  </si>
  <si>
    <t>Nett Cash from Operating Activities</t>
  </si>
  <si>
    <t>Cash from Investing Activities</t>
  </si>
  <si>
    <t>Leasehold Assets Purchased</t>
  </si>
  <si>
    <t>Plus / minus Asset Creditors</t>
  </si>
  <si>
    <t>Investment Movement</t>
  </si>
  <si>
    <t>(+ Decrease of term investment or - Increase in Term Investment)</t>
  </si>
  <si>
    <t>= Net Cash from Investing Activities</t>
  </si>
  <si>
    <t>Cash from Financing Activities</t>
  </si>
  <si>
    <t>Furniture &amp; Equipment</t>
  </si>
  <si>
    <t>Painting Contract Payments</t>
  </si>
  <si>
    <t>Loans Received / Repayment of Loans</t>
  </si>
  <si>
    <t>= Net Cash from Financing Activities</t>
  </si>
  <si>
    <t>Net Increase / Decrease</t>
  </si>
  <si>
    <t>Beginning Cash &amp; Cash Equivalents</t>
  </si>
  <si>
    <t>Ending Cash &amp; Cash Equivalents</t>
  </si>
  <si>
    <t>Cash as per accounts</t>
  </si>
  <si>
    <t>Variance</t>
  </si>
  <si>
    <t>Includes Novopay errors</t>
  </si>
  <si>
    <t xml:space="preserve">Less other expenses </t>
  </si>
  <si>
    <t>Less non wages codes in admin wages</t>
  </si>
  <si>
    <t>46800,46820,46880,46885,46886</t>
  </si>
  <si>
    <t>57485;57487</t>
  </si>
  <si>
    <t>Less non wages codes in property wages</t>
  </si>
  <si>
    <t>Less non wages codes in vrc</t>
  </si>
  <si>
    <t>35205,62550,63550</t>
  </si>
  <si>
    <t>Other expenses</t>
  </si>
  <si>
    <t>Wages under Kickstart 32040</t>
  </si>
  <si>
    <t>37316,37730</t>
  </si>
  <si>
    <t>Less non wages codes in National assessment</t>
  </si>
  <si>
    <t>Less non wages codes in ORRS</t>
  </si>
  <si>
    <t>Less non wages codes in ORRS Orientation</t>
  </si>
  <si>
    <t>33502,33510</t>
  </si>
  <si>
    <t>Less non wages codes in residential</t>
  </si>
  <si>
    <t>38250,38260,38280</t>
  </si>
  <si>
    <t>Wages under Catering costs, Residential (38500,34700)</t>
  </si>
  <si>
    <t>Wages under Immersion(38940,38930,38929)</t>
  </si>
  <si>
    <t>Regional Cost 35171,35525,35900,60000,35160,60250</t>
  </si>
  <si>
    <t>Learning - PD 61800</t>
  </si>
  <si>
    <t>Unkown difference</t>
  </si>
  <si>
    <t>unkown difference</t>
  </si>
  <si>
    <t>Low Vision Year 13+</t>
  </si>
  <si>
    <t>Parent Courses</t>
  </si>
  <si>
    <t>BOT - Administration &amp; Sub</t>
  </si>
  <si>
    <t>BOT - Attendance Fees</t>
  </si>
  <si>
    <t>BOT - Elections</t>
  </si>
  <si>
    <t>BOT - Subscriptions</t>
  </si>
  <si>
    <t>BOT - Training</t>
  </si>
  <si>
    <t>BOT - Travel</t>
  </si>
  <si>
    <t>Building Servicing expenses</t>
  </si>
  <si>
    <t>Regional ORS Therapy</t>
  </si>
  <si>
    <t>Regional ORS Res Development</t>
  </si>
  <si>
    <t>Travel &amp; Accomodation</t>
  </si>
  <si>
    <t>Course Fees</t>
  </si>
  <si>
    <t>Course Materials</t>
  </si>
  <si>
    <t>Supervisory Travel &amp; Accom</t>
  </si>
  <si>
    <t>Massey Costs</t>
  </si>
  <si>
    <t>Massey Travel Costs</t>
  </si>
  <si>
    <t>RTV Travel &amp; Accom</t>
  </si>
  <si>
    <t>Relieving Teacher Days</t>
  </si>
  <si>
    <t>Resources</t>
  </si>
  <si>
    <t>Staff Training/Conference</t>
  </si>
  <si>
    <t>The school receives funding from the Ministry of Education.  The following are the main types of funding that the school receives;</t>
  </si>
  <si>
    <t>Teachers salaries grants are recorded as revenue when the school has the rights to the funding in the salary period they relate to.  The grants are not received in cash by the school and are paid directly to teachers by the Ministry of Education.</t>
  </si>
  <si>
    <t>Inventories are consumable items held for sale and comprise of stationery and school uniforms.  They are stated at the lower of cost and net realisable value. Cost is determined on a first in, first out basis.  Net realisable value is the estimated selling price in the ordinary course of activities less the estimated costs necessary to make the sale.  Thus the fair value of the inventory is determined based on the cost at time of purchase.  The write down from cost to net realisable value is recorded as an expense in the Statement of Comprehensive Revenue and Expense in the period of the write down.</t>
  </si>
  <si>
    <t>Gains and losses on disposals (i.e. sold or given away) are determined by comparing the proceeds received with the carrying amounts (i.e. the book value). The gain or loss arising from the disposal of an item of property, plant and equipment is recognised in the Statement of Comprehensive Revenue and Expense.</t>
  </si>
  <si>
    <t>Property, plant and equipment except for library resources are depreciated over their estimated useful lives on a straight line basis.  Library resources are depreciated on a diminishing value basis. Depreciation of all assets is reported in the Statement of Comprehensive Revenue and Expense.</t>
  </si>
  <si>
    <t>10-75 years</t>
  </si>
  <si>
    <t>Textbooks</t>
  </si>
  <si>
    <t>Leased assets held under a Finance Lease</t>
  </si>
  <si>
    <t>Net Surplus for the year Locally raised funds</t>
  </si>
  <si>
    <t>Equipment repairs</t>
  </si>
  <si>
    <t>Homai Campus Income</t>
  </si>
  <si>
    <t>Homai Campus Expenses</t>
  </si>
  <si>
    <t>Loss on Disposal of Property, Plant and Equipment</t>
  </si>
  <si>
    <t>Gain on Sale of Property, Plant and Equipment</t>
  </si>
  <si>
    <t>Salaries - Relievers</t>
  </si>
  <si>
    <t>Distance Braille Training/Salaries</t>
  </si>
  <si>
    <t>Distance Braille - Consumables</t>
  </si>
  <si>
    <t>PD Staffing</t>
  </si>
  <si>
    <t>PD Travel &amp; Accomodation</t>
  </si>
  <si>
    <t>PD Consumables</t>
  </si>
  <si>
    <t>Salaries - Residential Staff</t>
  </si>
  <si>
    <t>Salaries - Administration</t>
  </si>
  <si>
    <t>Salaries - Other</t>
  </si>
  <si>
    <t>BLENNZ projects</t>
  </si>
  <si>
    <t>Interest Accrual</t>
  </si>
  <si>
    <t>C201</t>
  </si>
  <si>
    <t>C523</t>
  </si>
  <si>
    <t>C524</t>
  </si>
  <si>
    <t>F/A Pur - Northland</t>
  </si>
  <si>
    <t>C678</t>
  </si>
  <si>
    <t>Donated Library books</t>
  </si>
  <si>
    <t>Operating Leases</t>
  </si>
  <si>
    <t>Cyclical maintenance</t>
  </si>
  <si>
    <t>Rates</t>
  </si>
  <si>
    <t>Bank Current account</t>
  </si>
  <si>
    <t xml:space="preserve">Bank Call account </t>
  </si>
  <si>
    <t>Short-term bank deposits with a maturity of three months or less</t>
  </si>
  <si>
    <t>Net cash and cash equivalents for cashflow statement</t>
  </si>
  <si>
    <t>The carrying value of short-term deposits with maturity dates of three months or less approximates their fair value.</t>
  </si>
  <si>
    <t>Interest accrued</t>
  </si>
  <si>
    <t>Receivables from Exhange transactions</t>
  </si>
  <si>
    <t>Receivables from non-exhange transactions</t>
  </si>
  <si>
    <t>The school's investment activities are classified as follows</t>
  </si>
  <si>
    <t>Short-term bank deposits with maturities greater than three months and</t>
  </si>
  <si>
    <t>no greater than one year.</t>
  </si>
  <si>
    <t>Non-current Asset</t>
  </si>
  <si>
    <t>Long-term bank deposits with maturities greater than one year</t>
  </si>
  <si>
    <t>Opening
Balance(NBV)</t>
  </si>
  <si>
    <t>Additions</t>
  </si>
  <si>
    <t>Disposals</t>
  </si>
  <si>
    <t>Impairment</t>
  </si>
  <si>
    <t>Total(NBV)</t>
  </si>
  <si>
    <t>Cost or
Valuation</t>
  </si>
  <si>
    <t>Accumulated
Depreciation</t>
  </si>
  <si>
    <t>Net Book
Value</t>
  </si>
  <si>
    <t>Operating Creditors</t>
  </si>
  <si>
    <t>Accruals</t>
  </si>
  <si>
    <t>Creditors and Accruals for PPE items</t>
  </si>
  <si>
    <t>Employee benefits - leave accrual</t>
  </si>
  <si>
    <t>Payable for exchange transactions</t>
  </si>
  <si>
    <t>Payable for non-exchange transactions - Taxes payable</t>
  </si>
  <si>
    <t>Payables for non-exchange transactions - other</t>
  </si>
  <si>
    <t>Adjustment to the provision</t>
  </si>
  <si>
    <t>Cyclical maintenance - Current</t>
  </si>
  <si>
    <t>Cyclical maintenance - Term</t>
  </si>
  <si>
    <t>Related party disclosures have not been made for transactions with related parties that are withing a normal supplier or client/recipient relationship on terms and condition no more or less favourable than those that it is reasonable to expect the school would have adopted in dealing with the party at arm's lenght in the same circumstances.  Further, transactions with other government agencies (for example Government departments, and Crown entities) are not disclosed as related party transactions when they are consistent with the normal operating arrangements between government agencies and undertaken on the normal terms and conditions for such transactions.</t>
  </si>
  <si>
    <t>Key management personnel compensation</t>
  </si>
  <si>
    <t>MOE Portion Operation Lease</t>
  </si>
  <si>
    <t>Jumpstart</t>
  </si>
  <si>
    <t>Code 30380</t>
  </si>
  <si>
    <t>The school is an entity controlled by the Crown, and the Crown provides the major source of revenue to the school. The school enters
 into transactions with other entities also controlled by the Crown, such as government departments, state-owned enterprises and other Crown entities. Transactions with these entities are not disclosed as they occur on terms and conditions no more or less favourable than those that it is reasonable to expect the school would have adopted if dealing with that entity at arm’s length.</t>
  </si>
  <si>
    <t xml:space="preserve">The total value of remuneration paid or payable to the Principal was in the following bands: </t>
  </si>
  <si>
    <t>The number of other employees with remuneration greater than $100,000 was in the following bands</t>
  </si>
  <si>
    <t>FTE number</t>
  </si>
  <si>
    <t>Remuneration</t>
  </si>
  <si>
    <t>Events after balance date</t>
  </si>
  <si>
    <t>Managing capital</t>
  </si>
  <si>
    <t>The school's capital is its equity and comprises capital contributions from the ministry of Education for property, plant and equipment, and accumulated surpluses and deficits.  The school does not actively manage capital but "attempts" to ensure that income exceeds spending in most years.  Although deficits can arise as planned in particular years, they are offset by planned surpluses in previous years or ensuing years.</t>
  </si>
  <si>
    <t>The carrying amount of financial assets and liabilities in each of the financial instruments categories are as follows:</t>
  </si>
  <si>
    <t>Cash and receivables</t>
  </si>
  <si>
    <t>Receivables</t>
  </si>
  <si>
    <t>Investments - Term deposits</t>
  </si>
  <si>
    <t>Financial liabilities measured at amortised cost</t>
  </si>
  <si>
    <t>Payables</t>
  </si>
  <si>
    <t>Borrowings - Loans</t>
  </si>
  <si>
    <t>Finance leases</t>
  </si>
  <si>
    <t>Total Cash and Receivables</t>
  </si>
  <si>
    <t>Total financial liabilities measured at amortised cost</t>
  </si>
  <si>
    <t>LY</t>
  </si>
  <si>
    <t>Service providers, Contractors, and Consultancy</t>
  </si>
  <si>
    <t>Consulting and contract services</t>
  </si>
  <si>
    <t>The use of land and buildings figure represents 8% of the school's total property value.  This is used as a 'proxy' for the market rental 
of the property.  Property values are established as part of the nation-wide revaluation exercise that is conducted every 30 June for the Ministry of Education's year-end reporting purposes.</t>
  </si>
  <si>
    <t>Short-term employee entitlements</t>
  </si>
  <si>
    <t>Revenue</t>
  </si>
  <si>
    <t>Expenses</t>
  </si>
  <si>
    <t xml:space="preserve">    Trading</t>
  </si>
  <si>
    <t>4–5 years</t>
  </si>
  <si>
    <t>3 years</t>
  </si>
  <si>
    <t>Specific accounting policies</t>
  </si>
  <si>
    <t>Presentation currency</t>
  </si>
  <si>
    <t>The financial statements are prepared on the historical cost basis unless otherwise noted in a specific accounting policy.</t>
  </si>
  <si>
    <t>Measurement base</t>
  </si>
  <si>
    <t>Financial reporting standards applied</t>
  </si>
  <si>
    <t>b) Basis of Preparation</t>
  </si>
  <si>
    <t>a) Reporting Entity</t>
  </si>
  <si>
    <t>k) Property, Plant and Equipment</t>
  </si>
  <si>
    <t>Change "Crown" to "Proprietor" for catholic schools</t>
  </si>
  <si>
    <t>Property, plant and equipment are recorded at cost or, in the case of donated assets, fair value at the date of receipt, less accumulated depreciation and impairment losses.  Cost or fair value as the case may be, includes those costs that relate directly to bringing the asset to the location where it will be used and making sure it is in the appropriate condition for its intended use.</t>
  </si>
  <si>
    <t>Change value to last year accounts</t>
  </si>
  <si>
    <t xml:space="preserve">The carrying value of software is amortised on a straight line basis over its useful life.  The useful life of software is estimated as three years.  The amortisation charge for each period and any impairment loss is recorded in the Statement of Comprehensive Income. </t>
  </si>
  <si>
    <t>Change for catholic schools</t>
  </si>
  <si>
    <t>Government Grants</t>
  </si>
  <si>
    <t xml:space="preserve">Land and buildings owned by the Crown are excluded from these financial statements.  The Board’s use of the land and buildings as ‘occupant’ is based on a property occupancy document.  </t>
  </si>
  <si>
    <t>j) Investments</t>
  </si>
  <si>
    <t>i) Inventories</t>
  </si>
  <si>
    <t>h) Accounts Receivable</t>
  </si>
  <si>
    <t>g) Cash and Cash Equivalents</t>
  </si>
  <si>
    <t>Finance lease payments are apportioned between the finance charge and the reduction of the outstanding liability.  The finance charge is allocated to each period during the lease term on an effective interest basis.</t>
  </si>
  <si>
    <t xml:space="preserve">f) Finance Lease Payments </t>
  </si>
  <si>
    <t>e) Operating Lease Payments</t>
  </si>
  <si>
    <t>d) Use of Land and Buildings Expense</t>
  </si>
  <si>
    <t>Donations</t>
  </si>
  <si>
    <t>Payroll reconciliation</t>
  </si>
  <si>
    <t>Teacher salaries</t>
  </si>
  <si>
    <t>GL</t>
  </si>
  <si>
    <t>SAAR</t>
  </si>
  <si>
    <t>Error report</t>
  </si>
  <si>
    <t>Bulk Grant salaries</t>
  </si>
  <si>
    <t>Learning wages</t>
  </si>
  <si>
    <t>Admin Wages</t>
  </si>
  <si>
    <t>Property Wages</t>
  </si>
  <si>
    <t>National Assesment</t>
  </si>
  <si>
    <t>Activities/Trading</t>
  </si>
  <si>
    <t>ORRS wages</t>
  </si>
  <si>
    <t>ORRS Orientation and Mobility</t>
  </si>
  <si>
    <t>National assesment under catering code 37500</t>
  </si>
  <si>
    <t>Music Teacher  35800</t>
  </si>
  <si>
    <t>(SAAR)</t>
  </si>
  <si>
    <t>Index</t>
  </si>
  <si>
    <t>Page</t>
  </si>
  <si>
    <t>Statement</t>
  </si>
  <si>
    <t>Statement of Comprehensive Revenue and Expenses</t>
  </si>
  <si>
    <t>Statement of Changes in Net Assets/Equity</t>
  </si>
  <si>
    <t>Cashflow Statement</t>
  </si>
  <si>
    <t>Statement of Accounting Policies</t>
  </si>
  <si>
    <t>The Board of Trustees accepts responsibility for the preparation of the annual financial statements</t>
  </si>
  <si>
    <t>and the judgements used in these financial statements.</t>
  </si>
  <si>
    <t>The management (including the principal and others as directed by the Board) accepts responsibility</t>
  </si>
  <si>
    <t>for establishing and maintaining a system of internal controls designed to provide reasonable</t>
  </si>
  <si>
    <t>assurance as to the integrity and reliability of the school's financial reporting.</t>
  </si>
  <si>
    <t>It is the opinion of the Board and management that the annual financial statements for the financial year</t>
  </si>
  <si>
    <t>Full Name of Board Chairperson</t>
  </si>
  <si>
    <t>Full Name of Principal</t>
  </si>
  <si>
    <t>Signature of Board Chairperson</t>
  </si>
  <si>
    <t>Signature of Principal</t>
  </si>
  <si>
    <t>Date:</t>
  </si>
  <si>
    <t>The Board of Trustees (the Board) has pleasure in presenting the annual report of Blind and Low Vision</t>
  </si>
  <si>
    <t>Education Network NZ incorporating the financial statements and the auditor's report, for the year ended</t>
  </si>
  <si>
    <t>(Unaudited)</t>
  </si>
  <si>
    <t>Locally raised funds</t>
  </si>
  <si>
    <t>Gain on sale of plant &amp; equipment</t>
  </si>
  <si>
    <t>Other comprehensive revenue &amp; expenses</t>
  </si>
  <si>
    <t>Total comprehensive revenue &amp;</t>
  </si>
  <si>
    <t>expenses for the year</t>
  </si>
  <si>
    <t>Balance at 1 January</t>
  </si>
  <si>
    <t>Total comprehensive revenue and expenses for the year</t>
  </si>
  <si>
    <t>Owner transactions</t>
  </si>
  <si>
    <t xml:space="preserve">   Contribution - Furniture and Equipment grant</t>
  </si>
  <si>
    <t>Equity at 31 December</t>
  </si>
  <si>
    <t>Retained Earnings</t>
  </si>
  <si>
    <t>Reserves</t>
  </si>
  <si>
    <t>GST Receivable</t>
  </si>
  <si>
    <t>Revenue received in advance</t>
  </si>
  <si>
    <t>Working Capital Surplus or (Deficit)</t>
  </si>
  <si>
    <t>Note</t>
  </si>
  <si>
    <t>Budget (Unaudited)</t>
  </si>
  <si>
    <t>Cash flows from Operating Activities</t>
  </si>
  <si>
    <t>Locally Raised Funds</t>
  </si>
  <si>
    <t>International Students</t>
  </si>
  <si>
    <t>Payments to Employees</t>
  </si>
  <si>
    <t>Payments to Suppliers</t>
  </si>
  <si>
    <t>Interest Paid</t>
  </si>
  <si>
    <t xml:space="preserve">Net cash from / (to) the Operating Activities </t>
  </si>
  <si>
    <t>Revenue received in advance relates to fees received from (international, hostel students and grants received) where there are unfulfilled obligations for the school to provide services in the future.  The fees are recorded as revenue as the obligations are fulfilled and the fees earned.</t>
  </si>
  <si>
    <t>150-160</t>
  </si>
  <si>
    <t xml:space="preserve">     Donations - Playground</t>
  </si>
  <si>
    <t xml:space="preserve">     ECC grant payments</t>
  </si>
  <si>
    <t>The Education Act 1989 requires the school, as a Crown entity, to prepare financial statements in accordance with generally accepted accounting practice. The financial statements have been prepared in accordance with generally accepted accounting practice in New Zealand, applying PBE Accounting standards (PBE IPSAS) reduced disclosure regime as appropriate to public benefit entities that qualify for Tier 2 reporting.  The school is considered a Public Benefit Entity as it meets the citeria specified as "having a primary objective to provide goods and/or services for community or social benefit and where any equity has been provided with a view to supporting that primary objective rather than for financial return to equity holders".</t>
  </si>
  <si>
    <t>Donations, gifts and bequests are recorded as revenue when their receipt is formally acknowledged by the school.</t>
  </si>
  <si>
    <t>The property from which the school operates is owned by the Crown and managed by the Ministry of Education on behalf of the Crown.  The school’s use of the land and buildings as occupant is based on a property occupancy document as gazetted by the Ministry.  The expense is based on an assumed market rental yield on the value of land and buildings as used for rating purposes.  This is a non-cash expense that is offset by a non-cash grant from the Ministry.</t>
  </si>
  <si>
    <t>The school has met the requirements under section 73 of the Education Act 1989 in relation to the acquisition of securities.</t>
  </si>
  <si>
    <t>Loss on sale of asset</t>
  </si>
  <si>
    <t>Leases where the school assumes substantially all the risks and rewards of ownership are classified as finance leases.  The assets acquired by way of finance lease are measured at an amount equal to the lower of their fair value and the present value of the minimum lease payments at inception of the lease, less accumulated depreciation and impairment losses. Leased assets and corresponding liability are recognised in the Statement of Financial Position and leased assets are depreciated over the period the school is expected to benefit from their use or over the term of the lease.</t>
  </si>
  <si>
    <t>Computer software acquired by the school is capitalised on the basis of the costs incurred to acquire and bring to use the specific software.  Costs associated with subsequent maintenance or licensing of software are recognised as an expense in the Statement of Comprehensive Income when incurred.</t>
  </si>
  <si>
    <t>Excl GST</t>
  </si>
  <si>
    <t>Don't include profit on disposal</t>
  </si>
  <si>
    <t>Accounts Payable represents liabilities for goods and services provided to the school prior to the end of the financial year which are unpaid.  Accounts Payable are recorded at the amount of cash required to settle those liabilities. The amounts are unsecured and are usually paid within 30 days of recognition.</t>
  </si>
  <si>
    <t xml:space="preserve">The school holds sufficient funds to enable the refund of unearned fees in relation to international students, should the school be unable to provide the services to which they relate.  </t>
  </si>
  <si>
    <t>Funds are held in trust where they have been received by the school for a specified purpose.  The school holds sufficient funds to enable the funds to be used for their intended purpose at any time.</t>
  </si>
  <si>
    <t>Shared Funds are held on behalf of participating schools within a cluster of schools.  The school holds sufficient funds to enable the funds to be used for their intended purpose.</t>
  </si>
  <si>
    <t>The property from which the school operates is owned by the Crown, and is vested in the Ministry.  The Ministry has gazetted a property occupancy document that sets out the Board’s property maintenance responsibilities. The Board is responsible for maintaining the land, buildings and other facilities on the school site in a state of good order and repair.</t>
  </si>
  <si>
    <t>Cyclical maintenance, which involves painting the interior and exterior of the school, makes up the most significant part of the Board’s responsibilities outside day-to-day maintenance. The provision for cyclical maintenance represents the obligation the Board has to the Ministry and is based on the Board’s ten year property plan (10YPP).</t>
  </si>
  <si>
    <t xml:space="preserve">The school’s financial assets comprise cash and cash equivalents, accounts receivable, and investments.  All of these financial assets, except for investments that are shares, are categorised as “loans and receivables” for accounting purposes in accordance with financial reporting standards.  </t>
  </si>
  <si>
    <t>The school’s financial liabilities comprise accounts payable, funds held on behalf of the Ministry of Education, and painting contract liability.  All of these financial liabilities are categorised as “financial liabilities measured at amortised cost” for accounting purposes in accordance with financial reporting standards.</t>
  </si>
  <si>
    <t xml:space="preserve">Borrowings are recognised at the amount borrowed.  Borrowings are classified as current liabilities unless the school has an unconditional right to defer settlement of the liability for at least 12 months after the balance date. </t>
  </si>
  <si>
    <t>The budget figures are extracted from the school budget that was approved by the Board at the start of the year.</t>
  </si>
  <si>
    <t>Operating leases moved here as it is Laptop leases and cars which is for learning</t>
  </si>
  <si>
    <t>December</t>
  </si>
  <si>
    <t>Risk Management Premium</t>
  </si>
  <si>
    <t>* OPERATING GRANT</t>
  </si>
  <si>
    <t>Operating Grant</t>
  </si>
  <si>
    <t>Banked Staffing Under-Usage</t>
  </si>
  <si>
    <t>Kiwisport Grant</t>
  </si>
  <si>
    <t>Residential Grant</t>
  </si>
  <si>
    <t>Music School Income</t>
  </si>
  <si>
    <t>Visual Resource Centre</t>
  </si>
  <si>
    <t>Teachers Salaries Grant</t>
  </si>
  <si>
    <t>* OTHER GOVERNMENT GRANTS</t>
  </si>
  <si>
    <t>Teacher Aide PD MOE grants</t>
  </si>
  <si>
    <t>* OTHER GRANTS</t>
  </si>
  <si>
    <t>ACC Teacher Aide</t>
  </si>
  <si>
    <t>Other Grants</t>
  </si>
  <si>
    <t>National Assessment Recoveries</t>
  </si>
  <si>
    <t>Maori Research Project</t>
  </si>
  <si>
    <t>Vision Edu Agency Contract</t>
  </si>
  <si>
    <t>* INVESTMENT INCOME</t>
  </si>
  <si>
    <t>Interest Received</t>
  </si>
  <si>
    <t>** LOCALLY RAISED FUNDS</t>
  </si>
  <si>
    <t>* FUNDRAISING</t>
  </si>
  <si>
    <t>Donations -Parents</t>
  </si>
  <si>
    <t>Donations - Other</t>
  </si>
  <si>
    <t>Commissions</t>
  </si>
  <si>
    <t>Fundraising Income</t>
  </si>
  <si>
    <t>Fundraising Expenditure</t>
  </si>
  <si>
    <t>Immersion Course Accommodation</t>
  </si>
  <si>
    <t>Sponsorships Received</t>
  </si>
  <si>
    <t>Sundry Income</t>
  </si>
  <si>
    <t>Sundry Expenditure</t>
  </si>
  <si>
    <t>Use of Land and Buildings</t>
  </si>
  <si>
    <t>* ACTIVITIES</t>
  </si>
  <si>
    <t>Activities Income</t>
  </si>
  <si>
    <t>Activities Expenditure</t>
  </si>
  <si>
    <t>ICT Cluster  - MOE Contract</t>
  </si>
  <si>
    <t>Staff Travel &amp; Accommodation</t>
  </si>
  <si>
    <t>Kickstart Income</t>
  </si>
  <si>
    <t>Kickstart Expenditure</t>
  </si>
  <si>
    <t>Hostel Income</t>
  </si>
  <si>
    <t>Hostel Expense</t>
  </si>
  <si>
    <t>Itinerant Income</t>
  </si>
  <si>
    <t>Itinerant Inservice Expense</t>
  </si>
  <si>
    <t>Braille Training Inc</t>
  </si>
  <si>
    <t>Braille Training Exp</t>
  </si>
  <si>
    <t>O&amp;M Income</t>
  </si>
  <si>
    <t>* TRADING</t>
  </si>
  <si>
    <t>Hire School Facilities Income</t>
  </si>
  <si>
    <t>Hire School Facilities Expd</t>
  </si>
  <si>
    <t>Rental Income</t>
  </si>
  <si>
    <t>Rental Expenditure</t>
  </si>
  <si>
    <t>Hostels Trading Income</t>
  </si>
  <si>
    <t>Hostels Trading Expenditure</t>
  </si>
  <si>
    <t>Vision Clinic Trading Income</t>
  </si>
  <si>
    <t>Vision Clinic Trading Expd</t>
  </si>
  <si>
    <t>Palmerston North VRC - Expense</t>
  </si>
  <si>
    <t>** DEPRECIATION</t>
  </si>
  <si>
    <t>* CYCLICAL MAINTENANCE</t>
  </si>
  <si>
    <t>Cyclical Maintenance</t>
  </si>
  <si>
    <t>R&amp;M - Classroom Equipment</t>
  </si>
  <si>
    <t>R&amp;M - Computer Equipment</t>
  </si>
  <si>
    <t>Reimbursements</t>
  </si>
  <si>
    <t>Subscriptions</t>
  </si>
  <si>
    <t>Telephone/Tolls/Faxes</t>
  </si>
  <si>
    <t>Salaries - Ancillary</t>
  </si>
  <si>
    <t>Annual Leave Expenses</t>
  </si>
  <si>
    <t>Salaries - Relieving - Sick</t>
  </si>
  <si>
    <t>Teachers Salaries</t>
  </si>
  <si>
    <t>Acc Funded Teacher Aide</t>
  </si>
  <si>
    <t>Prof Dev - Training &amp; Travel</t>
  </si>
  <si>
    <t>Classrooms</t>
  </si>
  <si>
    <t>Nz Curriculum</t>
  </si>
  <si>
    <t>Expanded Core Curriculum</t>
  </si>
  <si>
    <t>Photocopying</t>
  </si>
  <si>
    <t>Esol</t>
  </si>
  <si>
    <t>Ict-Consumables</t>
  </si>
  <si>
    <t>Star Courses</t>
  </si>
  <si>
    <t>Special Education</t>
  </si>
  <si>
    <t>Tela Teachers Laptop Lease</t>
  </si>
  <si>
    <t>General Consumables</t>
  </si>
  <si>
    <t>Stationery</t>
  </si>
  <si>
    <t>Postage</t>
  </si>
  <si>
    <t>Playground Consumables</t>
  </si>
  <si>
    <t>Jchs-Rent</t>
  </si>
  <si>
    <t>Jchs-Consumables</t>
  </si>
  <si>
    <t>Curriculum Resources</t>
  </si>
  <si>
    <t>Jchs-Telephone/Tolls/Faxes</t>
  </si>
  <si>
    <t>Food</t>
  </si>
  <si>
    <t>Salaries - Kickstart</t>
  </si>
  <si>
    <t>Teacher Aides/Asst Salaries</t>
  </si>
  <si>
    <t>Acc Levies</t>
  </si>
  <si>
    <t>Recruitment/Advertising</t>
  </si>
  <si>
    <t>Training &amp; Developemet</t>
  </si>
  <si>
    <t>Allowances</t>
  </si>
  <si>
    <t>Salaries</t>
  </si>
  <si>
    <t>Tactile Production</t>
  </si>
  <si>
    <t>Volunteer Expenses</t>
  </si>
  <si>
    <t>Adviser to the Deaf</t>
  </si>
  <si>
    <t>Petrol</t>
  </si>
  <si>
    <t>Vehicle Registration</t>
  </si>
  <si>
    <t>Vehicle R&amp;M</t>
  </si>
  <si>
    <t>Vehicle Lease</t>
  </si>
  <si>
    <t>Vehicle Insurance</t>
  </si>
  <si>
    <t>Speech Language Therapy</t>
  </si>
  <si>
    <t>Occupational Therapy</t>
  </si>
  <si>
    <t>Physiotheraphy</t>
  </si>
  <si>
    <t>Horticultural Therapist</t>
  </si>
  <si>
    <t>Riding For Disabled</t>
  </si>
  <si>
    <t>Music Therapy</t>
  </si>
  <si>
    <t>Orientation &amp; Mobility-School</t>
  </si>
  <si>
    <t>Slt, Ot &amp; Physiotherapy</t>
  </si>
  <si>
    <t>Orientation &amp; Mob-Kickstart</t>
  </si>
  <si>
    <t>Psychologist Support From Gse</t>
  </si>
  <si>
    <t>Teacher Aide Time</t>
  </si>
  <si>
    <t>Braille Music</t>
  </si>
  <si>
    <t>Music Therapist</t>
  </si>
  <si>
    <t>Alternative Therapy</t>
  </si>
  <si>
    <t>Interpreter Expenses</t>
  </si>
  <si>
    <t>Taxi Escorts</t>
  </si>
  <si>
    <t>Student Consumables Ors</t>
  </si>
  <si>
    <t>Rubbish Disposal - Nappies</t>
  </si>
  <si>
    <t>Laundry</t>
  </si>
  <si>
    <t>General Stores</t>
  </si>
  <si>
    <t>Food Programme Costs</t>
  </si>
  <si>
    <t>Courier</t>
  </si>
  <si>
    <t>Braille Music Teacher Contract</t>
  </si>
  <si>
    <t>Printing/Stationery</t>
  </si>
  <si>
    <t>Staff Technical Support</t>
  </si>
  <si>
    <t>Travel/Accommodation</t>
  </si>
  <si>
    <t>Consultancy - Rnzfb</t>
  </si>
  <si>
    <t>Consultancy - Moving Forward</t>
  </si>
  <si>
    <t>O&amp;M Website Resource</t>
  </si>
  <si>
    <t>Teacher Aide PD</t>
  </si>
  <si>
    <t>Projects - Vea</t>
  </si>
  <si>
    <t>Kapo Maori Research Project</t>
  </si>
  <si>
    <t>South Auckland Project Trust</t>
  </si>
  <si>
    <t>South Auck Project Trust Exp</t>
  </si>
  <si>
    <t>Staffing</t>
  </si>
  <si>
    <t>Telephone/Tolls/Fax</t>
  </si>
  <si>
    <t>Publications</t>
  </si>
  <si>
    <t>Staff Training/Conferences</t>
  </si>
  <si>
    <t>Staff Travel/Accommodation</t>
  </si>
  <si>
    <t>Telephone/Tolls/Fax Ict Co-Ord</t>
  </si>
  <si>
    <t>Photocopying Ict Co-Ord</t>
  </si>
  <si>
    <t>Printing/Stationery Ict Co-Ord</t>
  </si>
  <si>
    <t>Consumables Ict Co-Ord</t>
  </si>
  <si>
    <t>Ict Expenses Ict Co-Ord</t>
  </si>
  <si>
    <t>Publications Itc Co-Ord</t>
  </si>
  <si>
    <t>Staff Training/Conferences Ict</t>
  </si>
  <si>
    <t>Staff Travel/Accomodation</t>
  </si>
  <si>
    <t>Telephone Rental/Tolls/Fax</t>
  </si>
  <si>
    <t>Vehicle Maintenance</t>
  </si>
  <si>
    <t>Property Rental Auck Vrc</t>
  </si>
  <si>
    <t>Equipment Maintenance</t>
  </si>
  <si>
    <t>Subs/Membership Fees</t>
  </si>
  <si>
    <t>Renovations</t>
  </si>
  <si>
    <t>Muffin Break expense</t>
  </si>
  <si>
    <t>Regional Network Staffing</t>
  </si>
  <si>
    <t>Lower Ni Regional Meetings</t>
  </si>
  <si>
    <t>South Island Regional Meetings</t>
  </si>
  <si>
    <t>Regional Network Staffing Oper</t>
  </si>
  <si>
    <t>Upper Ni Regional Meetings</t>
  </si>
  <si>
    <t>Resource Production</t>
  </si>
  <si>
    <t>Working Party / Ref Grp Mtgs</t>
  </si>
  <si>
    <t>Itinerant Music</t>
  </si>
  <si>
    <t>Telephone</t>
  </si>
  <si>
    <t>Printing / Stationery</t>
  </si>
  <si>
    <t>Subs / Membership Fees</t>
  </si>
  <si>
    <t>Staff Training / Conferences</t>
  </si>
  <si>
    <t>Staff Travel / Accommodation</t>
  </si>
  <si>
    <t>Building Move Cost</t>
  </si>
  <si>
    <t>Mgmt Mtgs (Lower Nth Island)</t>
  </si>
  <si>
    <t>Mgmt Mtgs (South Island)</t>
  </si>
  <si>
    <t>Mgmt Mtgs (Upper Nth Island)</t>
  </si>
  <si>
    <t>Regional Funded Pd</t>
  </si>
  <si>
    <t>International Visiting Speaker</t>
  </si>
  <si>
    <t>Round Table &amp; SEPANZ</t>
  </si>
  <si>
    <t>Relieving Teachers</t>
  </si>
  <si>
    <t>Assistive Technology Group</t>
  </si>
  <si>
    <t>National Equipment Maintenance</t>
  </si>
  <si>
    <t>ACC levies</t>
  </si>
  <si>
    <t>Staff Training /Conferences</t>
  </si>
  <si>
    <t>Staff Travel &amp; Accomodation</t>
  </si>
  <si>
    <t>Difference</t>
  </si>
  <si>
    <t>Fundraising Expenses</t>
  </si>
  <si>
    <t>Activities Expenses</t>
  </si>
  <si>
    <t>Trading Income</t>
  </si>
  <si>
    <t>Trading Expenses</t>
  </si>
  <si>
    <t>Repairs and Maintenance</t>
  </si>
  <si>
    <t>Satelite class James Cook high school</t>
  </si>
  <si>
    <t>Employee Benefits-salaries</t>
  </si>
  <si>
    <t>Staff Development</t>
  </si>
  <si>
    <t>Board of Trustees Fees</t>
  </si>
  <si>
    <t>Board of Trustees Expenses</t>
  </si>
  <si>
    <t>Communication</t>
  </si>
  <si>
    <t>Operating leases</t>
  </si>
  <si>
    <t>ICT</t>
  </si>
  <si>
    <t>Risk Management</t>
  </si>
  <si>
    <t>Heat, Light and Water</t>
  </si>
  <si>
    <t>Use of land and Buildings</t>
  </si>
  <si>
    <t>Vision Resources Centres</t>
  </si>
  <si>
    <t>Tel Rental/Tolls/Fax</t>
  </si>
  <si>
    <t>Muffin Break Expenses</t>
  </si>
  <si>
    <t>Salaries  Ec</t>
  </si>
  <si>
    <t>Telephone Rental/ Tolls/ Fax</t>
  </si>
  <si>
    <t>Property Rental - External</t>
  </si>
  <si>
    <t>Printing &amp; Stationery</t>
  </si>
  <si>
    <t>Subs/ Membership Fees</t>
  </si>
  <si>
    <t>Educational Resources</t>
  </si>
  <si>
    <t>Itinerant Music Costs</t>
  </si>
  <si>
    <t>Staff Training/ Conferences</t>
  </si>
  <si>
    <t>Regional Leased Cards</t>
  </si>
  <si>
    <t>Regional Vehicle Maintenance</t>
  </si>
  <si>
    <t>Regional Vehicle Insurance</t>
  </si>
  <si>
    <t>Regional Relieving Teachers</t>
  </si>
  <si>
    <t>Regional Relief Teacher Travel</t>
  </si>
  <si>
    <t>Regional Software Licences</t>
  </si>
  <si>
    <t>Regional Consumables</t>
  </si>
  <si>
    <t>VRC New Property Consumables</t>
  </si>
  <si>
    <t>Telephone Rental/Tolls/Faxes</t>
  </si>
  <si>
    <t>karen.stobbs@blennz.school.nz</t>
  </si>
  <si>
    <t>Transfer (to)/from restricted Equity</t>
  </si>
  <si>
    <t>Restricted Equity at start of the year</t>
  </si>
  <si>
    <t xml:space="preserve">Transfer Homai Special Funds </t>
  </si>
  <si>
    <t>Restricted Equity at the end of the year</t>
  </si>
  <si>
    <t>Music School - Acc</t>
  </si>
  <si>
    <t>Music School</t>
  </si>
  <si>
    <t>Postage / Courier</t>
  </si>
  <si>
    <t>Workshop Expenses</t>
  </si>
  <si>
    <t>Teaching Resources</t>
  </si>
  <si>
    <t>Staffing Ecc</t>
  </si>
  <si>
    <t>Telephone/Tolls/Fax Ec</t>
  </si>
  <si>
    <t>Photocopying Ec</t>
  </si>
  <si>
    <t>Printing/Stationery Ec</t>
  </si>
  <si>
    <t>Consumables Ec</t>
  </si>
  <si>
    <t>Publications Ec</t>
  </si>
  <si>
    <t>Staff Training/Conferences Ec</t>
  </si>
  <si>
    <t>Staff Travel/Accommodation Ec</t>
  </si>
  <si>
    <t>Courier Nas</t>
  </si>
  <si>
    <t>Opthalmologist</t>
  </si>
  <si>
    <t>Assessment Stock On Hand</t>
  </si>
  <si>
    <t>Paediatrician</t>
  </si>
  <si>
    <t>Optometrist</t>
  </si>
  <si>
    <t>Speech Language</t>
  </si>
  <si>
    <t>Audiologist</t>
  </si>
  <si>
    <t>Ses Sp Psychologist</t>
  </si>
  <si>
    <t>Physiotherapy Contract</t>
  </si>
  <si>
    <t>Occupational Therapy Contract</t>
  </si>
  <si>
    <t>Telephone Charges</t>
  </si>
  <si>
    <t>Braille Contract</t>
  </si>
  <si>
    <t>New Building Costs Nat Assess</t>
  </si>
  <si>
    <t>Salaries Admin Nat Assess</t>
  </si>
  <si>
    <t>Payments made under operating leases are recognised in the Statement of Comprehensive Revenue and Expense on a straight line basis over the term of the lease.</t>
  </si>
  <si>
    <t>Window Cleaning</t>
  </si>
  <si>
    <t>General Improvements</t>
  </si>
  <si>
    <t>Swimming Pool Costs</t>
  </si>
  <si>
    <t>Grounds R &amp; M</t>
  </si>
  <si>
    <t>Gas</t>
  </si>
  <si>
    <t>Power</t>
  </si>
  <si>
    <t>Water</t>
  </si>
  <si>
    <t>Caretaker</t>
  </si>
  <si>
    <t>Training</t>
  </si>
  <si>
    <t>Protective Gear</t>
  </si>
  <si>
    <t>Minor Capital Works</t>
  </si>
  <si>
    <t>Painting</t>
  </si>
  <si>
    <t>R&amp;M - Buildings</t>
  </si>
  <si>
    <t>R&amp;M - Fire Sprinkler System</t>
  </si>
  <si>
    <t>Vandalism</t>
  </si>
  <si>
    <t>Rates - School Property/Land</t>
  </si>
  <si>
    <t>Staffing: O&amp;M</t>
  </si>
  <si>
    <t>Contractors: O&amp;M</t>
  </si>
  <si>
    <t>Staffing: Admin Regional Specialist</t>
  </si>
  <si>
    <t>O&amp;M Admin Staffing</t>
  </si>
  <si>
    <t>Co-Ordinator Travel/Accommodat</t>
  </si>
  <si>
    <t>O&amp;M Auckl/Northland Trav/Accom</t>
  </si>
  <si>
    <t>O&amp;M Middle Ni Travel/Accomodat</t>
  </si>
  <si>
    <t>O&amp;M Lower Ni Travel/Accommodat</t>
  </si>
  <si>
    <t>O&amp;M Si Travel/Accommodation</t>
  </si>
  <si>
    <t>Leased Vehicles X 5</t>
  </si>
  <si>
    <t>Paraprofessional Pd</t>
  </si>
  <si>
    <t>Parent PD</t>
  </si>
  <si>
    <t>Blennz Wide Pd</t>
  </si>
  <si>
    <t>Property Rental Costs</t>
  </si>
  <si>
    <t>Set Up Costs</t>
  </si>
  <si>
    <t>Lesson Costs</t>
  </si>
  <si>
    <t>ASB Trust Account</t>
  </si>
  <si>
    <t>Asb Term Deposit #90</t>
  </si>
  <si>
    <t>Asb Term Dep Rnzfb Hsf 79</t>
  </si>
  <si>
    <t>ASB Term investment 86</t>
  </si>
  <si>
    <t>Petty Cash</t>
  </si>
  <si>
    <t>GST Input Tax</t>
  </si>
  <si>
    <t>GST Clearing Account</t>
  </si>
  <si>
    <t>GST Output Tax</t>
  </si>
  <si>
    <t>9115S</t>
  </si>
  <si>
    <t>Teachers Salaries Accrual</t>
  </si>
  <si>
    <t>Staff Banking Underuse</t>
  </si>
  <si>
    <t>Ecc Current Account</t>
  </si>
  <si>
    <t>Stock on Hand</t>
  </si>
  <si>
    <t>Creditors Control</t>
  </si>
  <si>
    <t>Accrued Audit Fee</t>
  </si>
  <si>
    <t>9320S</t>
  </si>
  <si>
    <t>Cyclical Maintenance Provision</t>
  </si>
  <si>
    <t>** NON-CURRENT ASSETS</t>
  </si>
  <si>
    <t>Fixed Assets</t>
  </si>
  <si>
    <t>** NON-CURRENT LIABILITIES</t>
  </si>
  <si>
    <t>Appropriation</t>
  </si>
  <si>
    <t>MOE Capital Contribution</t>
  </si>
  <si>
    <t>* Income in Advance</t>
  </si>
  <si>
    <t>Duke Of Edinburgh Award</t>
  </si>
  <si>
    <t>Gap Student Grant</t>
  </si>
  <si>
    <t>Grant In Advance-Current Year</t>
  </si>
  <si>
    <t>Income In Advance</t>
  </si>
  <si>
    <t>Music Trust</t>
  </si>
  <si>
    <t>Nowak-Kruger Trust</t>
  </si>
  <si>
    <t>Special Ed. Equip. Grant</t>
  </si>
  <si>
    <t>Vision Education Agency</t>
  </si>
  <si>
    <t>* Homai Special Funds</t>
  </si>
  <si>
    <t>System Suspense Account</t>
  </si>
  <si>
    <t>Main Control Account</t>
  </si>
  <si>
    <t>C100</t>
  </si>
  <si>
    <t>** CAPITAL ITEMS</t>
  </si>
  <si>
    <t>C200</t>
  </si>
  <si>
    <t>Disposal of Assets</t>
  </si>
  <si>
    <t>C500</t>
  </si>
  <si>
    <t>C501</t>
  </si>
  <si>
    <t>C502</t>
  </si>
  <si>
    <t>C503</t>
  </si>
  <si>
    <t>C504</t>
  </si>
  <si>
    <t>C505</t>
  </si>
  <si>
    <t>C506</t>
  </si>
  <si>
    <t>C507</t>
  </si>
  <si>
    <t>C508</t>
  </si>
  <si>
    <t>C509</t>
  </si>
  <si>
    <t>C510</t>
  </si>
  <si>
    <t>C511</t>
  </si>
  <si>
    <t>Pur Fa - Prof Develop</t>
  </si>
  <si>
    <t>C512</t>
  </si>
  <si>
    <t>B</t>
  </si>
  <si>
    <t>C</t>
  </si>
  <si>
    <t>D</t>
  </si>
  <si>
    <t>Regional Network&amp;Music teacher</t>
  </si>
  <si>
    <t>South Auck Trust</t>
  </si>
  <si>
    <t>Kickstart shown in Learning</t>
  </si>
  <si>
    <t>TS</t>
  </si>
  <si>
    <t>Provision as the start of the year</t>
  </si>
  <si>
    <t>Increase to the provision during the year</t>
  </si>
  <si>
    <t>Use of the provision during the year</t>
  </si>
  <si>
    <t>Provision as the end of the year</t>
  </si>
  <si>
    <t>C513</t>
  </si>
  <si>
    <t>C514</t>
  </si>
  <si>
    <t>C515</t>
  </si>
  <si>
    <t>C516</t>
  </si>
  <si>
    <t>C517</t>
  </si>
  <si>
    <t>C518</t>
  </si>
  <si>
    <t>C519</t>
  </si>
  <si>
    <t>Purchases - Buildings</t>
  </si>
  <si>
    <t>C520</t>
  </si>
  <si>
    <t>New School Equipment</t>
  </si>
  <si>
    <t>C521</t>
  </si>
  <si>
    <t>C522</t>
  </si>
  <si>
    <t>Pur FA - Napier</t>
  </si>
  <si>
    <t>C530</t>
  </si>
  <si>
    <t>Audio Visual</t>
  </si>
  <si>
    <t>C532</t>
  </si>
  <si>
    <t>Buildings</t>
  </si>
  <si>
    <t>C534</t>
  </si>
  <si>
    <t>Computer Equipment</t>
  </si>
  <si>
    <t>C536</t>
  </si>
  <si>
    <t>Furniture &amp; Fittings</t>
  </si>
  <si>
    <t>C538</t>
  </si>
  <si>
    <t>C540</t>
  </si>
  <si>
    <t>C542</t>
  </si>
  <si>
    <t>Musical Equipment</t>
  </si>
  <si>
    <t>C544</t>
  </si>
  <si>
    <t>Office Equipment</t>
  </si>
  <si>
    <t>C546</t>
  </si>
  <si>
    <t>Other Equipment</t>
  </si>
  <si>
    <t>C548</t>
  </si>
  <si>
    <t>Plant &amp; Machinery</t>
  </si>
  <si>
    <t>C550</t>
  </si>
  <si>
    <t>Special Ed. Equip. Grant Asset</t>
  </si>
  <si>
    <t>C552</t>
  </si>
  <si>
    <t>Sports Equipment</t>
  </si>
  <si>
    <t>C570</t>
  </si>
  <si>
    <t>C750</t>
  </si>
  <si>
    <t>D0</t>
  </si>
  <si>
    <t>** MOE FUNDED PROJECTS</t>
  </si>
  <si>
    <t>D01</t>
  </si>
  <si>
    <t>Kickstart Bldg Refurbish Inc</t>
  </si>
  <si>
    <t>D01E</t>
  </si>
  <si>
    <t>Kickstart Building Refurb Exp</t>
  </si>
  <si>
    <t>D02</t>
  </si>
  <si>
    <t>Taranaki VRC Property redevelopment</t>
  </si>
  <si>
    <t>D02E</t>
  </si>
  <si>
    <t>Taranaki VRC Property Redevelop Exp</t>
  </si>
  <si>
    <t>$</t>
  </si>
  <si>
    <t>Actual</t>
  </si>
  <si>
    <t>Budget</t>
  </si>
  <si>
    <t>Interest</t>
  </si>
  <si>
    <t>Grounds</t>
  </si>
  <si>
    <t>Notes</t>
  </si>
  <si>
    <t>Learning resources</t>
  </si>
  <si>
    <t>Administration</t>
  </si>
  <si>
    <t>Depreciation</t>
  </si>
  <si>
    <t>Prepayments</t>
  </si>
  <si>
    <t>Inventories</t>
  </si>
  <si>
    <t>Number of people</t>
  </si>
  <si>
    <t>Property</t>
  </si>
  <si>
    <t>Curricular</t>
  </si>
  <si>
    <t>Insurance</t>
  </si>
  <si>
    <t>Consumables</t>
  </si>
  <si>
    <t>Debtors</t>
  </si>
  <si>
    <t>(a) Capital Commitments</t>
  </si>
  <si>
    <t>$000</t>
  </si>
  <si>
    <t>-</t>
  </si>
  <si>
    <t xml:space="preserve">Communication </t>
  </si>
  <si>
    <t>Current Assets</t>
  </si>
  <si>
    <t>Current Liabilities</t>
  </si>
  <si>
    <t>Local funds raised within the School's community are made up of:</t>
  </si>
  <si>
    <t>Net Assets</t>
  </si>
  <si>
    <t>No later than one year</t>
  </si>
  <si>
    <t>Later than one year and no later than five years</t>
  </si>
  <si>
    <t>Later than five years</t>
  </si>
  <si>
    <t>Operational grants</t>
  </si>
  <si>
    <t>Other government grants</t>
  </si>
  <si>
    <t>Information and communication technology</t>
  </si>
  <si>
    <t>Library resources</t>
  </si>
  <si>
    <t>Employee benefits - salaries</t>
  </si>
  <si>
    <t>Staff development</t>
  </si>
  <si>
    <t>Board of Trustees fees</t>
  </si>
  <si>
    <t>Board of Trustees expenses</t>
  </si>
  <si>
    <t>Caretaking and cleaning consumables</t>
  </si>
  <si>
    <t>Heat, light and water</t>
  </si>
  <si>
    <t>Leased assets</t>
  </si>
  <si>
    <t>Cash on hand</t>
  </si>
  <si>
    <t>Teacher salaries grant</t>
  </si>
  <si>
    <t>Employee benefits - salaries accrual</t>
  </si>
  <si>
    <t>Cash and cash equivalents</t>
  </si>
  <si>
    <t>Provision for cyclical maintenance</t>
  </si>
  <si>
    <t>Property, plant and equipment</t>
  </si>
  <si>
    <t>(b) Operating Commitments</t>
  </si>
  <si>
    <t>Accounts payable</t>
  </si>
  <si>
    <t>Accounts receivable</t>
  </si>
  <si>
    <t xml:space="preserve">Principal </t>
  </si>
  <si>
    <t>Accounts Receivable</t>
  </si>
  <si>
    <t>Accounts Payable</t>
  </si>
  <si>
    <t>Learning Resources</t>
  </si>
  <si>
    <t>Code</t>
  </si>
  <si>
    <t>Audit Fees</t>
  </si>
  <si>
    <t>Other fees received in advance</t>
  </si>
  <si>
    <t>Previous year</t>
  </si>
  <si>
    <t>Year before previous</t>
  </si>
  <si>
    <t>Local Fundraising</t>
  </si>
  <si>
    <t>Cash and Cash Equivalents</t>
  </si>
  <si>
    <t>Property, Plant and Equipment</t>
  </si>
  <si>
    <t>Related Party Transactions</t>
  </si>
  <si>
    <t xml:space="preserve">Remuneration </t>
  </si>
  <si>
    <t>Compensation and other Benefits upon leaving</t>
  </si>
  <si>
    <t>Contingencies</t>
  </si>
  <si>
    <t>Commitments</t>
  </si>
  <si>
    <t>There have been no subsequent events since balance date the would materially affect these</t>
  </si>
  <si>
    <t>Kiwisport</t>
  </si>
  <si>
    <t>Computer software licences with individual values under $1,000 are not capitalised, they are recognised as an expense in the Statement of Comprehensive Income when incurred.</t>
  </si>
  <si>
    <t>Client travel</t>
  </si>
  <si>
    <t>Ongoing Resourcing Scheme(ORRS)</t>
  </si>
  <si>
    <t>PD Projects</t>
  </si>
  <si>
    <t>Immersion</t>
  </si>
  <si>
    <t>BALANCE SHEET</t>
  </si>
  <si>
    <t>Cash and Bank</t>
  </si>
  <si>
    <t>Blind and Low Vision Education Network NZ</t>
  </si>
  <si>
    <t>(a) Teacher laptops</t>
  </si>
  <si>
    <t>MOE Residential grant</t>
  </si>
  <si>
    <t>MOE Resource Teachers of Vision Impairment grant</t>
  </si>
  <si>
    <t>MOE Vision &amp; Sensory Resource Centre grant</t>
  </si>
  <si>
    <t>MOE Teachers salaries grant</t>
  </si>
  <si>
    <t>Special Education Grants/ORS</t>
  </si>
  <si>
    <t>MOE Document of Accountability Board Support</t>
  </si>
  <si>
    <t>MOE Document of Accountability Assessment/Training</t>
  </si>
  <si>
    <t xml:space="preserve">Use of land and buildings grant </t>
  </si>
  <si>
    <t>PD Project Expenses</t>
  </si>
  <si>
    <t>Kickstart</t>
  </si>
  <si>
    <t>Satellite Class - James Cook High</t>
  </si>
  <si>
    <t>General expenses</t>
  </si>
  <si>
    <t>Accountancy</t>
  </si>
  <si>
    <t>General Expenses</t>
  </si>
  <si>
    <t>Motor Vehicle</t>
  </si>
  <si>
    <t>Property services</t>
  </si>
  <si>
    <t>Vision Resource Centres</t>
  </si>
  <si>
    <t>Communications</t>
  </si>
  <si>
    <t>Property Rental</t>
  </si>
  <si>
    <t>Professional Development</t>
  </si>
  <si>
    <t>Staff Travel</t>
  </si>
  <si>
    <t>Itinerant Music Teacher</t>
  </si>
  <si>
    <t>Regional Network Costs</t>
  </si>
  <si>
    <t>National Assessment Services</t>
  </si>
  <si>
    <t>Professional Services</t>
  </si>
  <si>
    <t>Client Travel</t>
  </si>
  <si>
    <t>Catering Costs</t>
  </si>
  <si>
    <t>Recruitment</t>
  </si>
  <si>
    <t>Orientation &amp; Mobility</t>
  </si>
  <si>
    <t>Residential</t>
  </si>
  <si>
    <t>Student Travel</t>
  </si>
  <si>
    <t>Operational Costs</t>
  </si>
  <si>
    <t>Catering</t>
  </si>
  <si>
    <t>Immersion Courses</t>
  </si>
  <si>
    <t>Doherty Fund</t>
  </si>
  <si>
    <t>10–15 years</t>
  </si>
  <si>
    <t>5 years</t>
  </si>
  <si>
    <t>Ongoing Resourcing Scheme</t>
  </si>
  <si>
    <t>Visual Resource Centres</t>
  </si>
  <si>
    <t>National Assessment Service</t>
  </si>
  <si>
    <t>Private Bag 801
Manurewa, Auckland, 2243</t>
  </si>
  <si>
    <t>09 266 7109</t>
  </si>
  <si>
    <t>09 267 4496</t>
  </si>
  <si>
    <t xml:space="preserve">Building improvements </t>
  </si>
  <si>
    <t>A</t>
  </si>
  <si>
    <t>Repairs &amp; Maintenance</t>
  </si>
  <si>
    <t>Regional Specialist Services</t>
  </si>
  <si>
    <t>1.  Statement of  Accounting Policies</t>
  </si>
  <si>
    <t>Reporting period</t>
  </si>
  <si>
    <t>Basis of preparation</t>
  </si>
  <si>
    <t xml:space="preserve">The accounting policies used in the preparation of these financial statements are set out below. </t>
  </si>
  <si>
    <t>Critical accounting estimates and assumptions</t>
  </si>
  <si>
    <t>Government grants schools</t>
  </si>
  <si>
    <t>Operational grants are recorded as revenue when the school has the rights to the funding, which is in the year that the funding is received.</t>
  </si>
  <si>
    <t>Other Grants are recorded as revenue when the school has the rights to the funding, unless there are unfulfilled conditions attached to the grant, in which case the amount relating to the unfulfilled conditions is recognised as a liability and released to revenue as the conditions are fulfilled.</t>
  </si>
  <si>
    <t>Interest revenue earned on cash and cash equivalents and investments is recorded as revenue in the period it is earned.</t>
  </si>
  <si>
    <t>Staff Travel/Accom</t>
  </si>
  <si>
    <t>ASB Savings Account #50</t>
  </si>
  <si>
    <t>ASB Term Investment #72</t>
  </si>
  <si>
    <t>ASB Term Investment #74</t>
  </si>
  <si>
    <t>ASB Term Investment #75</t>
  </si>
  <si>
    <t>ASB Term Investment #79</t>
  </si>
  <si>
    <t>ASB Term Investment 81</t>
  </si>
  <si>
    <t>ASB Term Investment #82</t>
  </si>
  <si>
    <t>ASB Term Investment #83</t>
  </si>
  <si>
    <t>ASB Term Investment #84</t>
  </si>
  <si>
    <t>ASB Term Investment #85</t>
  </si>
  <si>
    <t>ASB Term Investment #77</t>
  </si>
  <si>
    <t>ASB Term Investment #73</t>
  </si>
  <si>
    <t>ASB Term Investment #88</t>
  </si>
  <si>
    <t>ASB Term Investment #78</t>
  </si>
  <si>
    <t>ASB Term Investment 76 Music School</t>
  </si>
  <si>
    <t>ASB Term Investment #80</t>
  </si>
  <si>
    <t>Novopay repayments/debt</t>
  </si>
  <si>
    <t>Leave liability</t>
  </si>
  <si>
    <t>Otago VRC</t>
  </si>
  <si>
    <t>Palmerston North VRC</t>
  </si>
  <si>
    <t>Southland VRC</t>
  </si>
  <si>
    <t>HSF: AVRC</t>
  </si>
  <si>
    <t>HSF: Blundell Award</t>
  </si>
  <si>
    <t>HSF: Chapel</t>
  </si>
  <si>
    <t>HSF: Doherty Fund</t>
  </si>
  <si>
    <t>HSF: General</t>
  </si>
  <si>
    <t>HSF: Gurr Trust</t>
  </si>
  <si>
    <t>HSF: Kickstart</t>
  </si>
  <si>
    <t>HSF: Koru/Mccahon</t>
  </si>
  <si>
    <t>HSF: Music</t>
  </si>
  <si>
    <t>HSF: Research</t>
  </si>
  <si>
    <t>HSF: Resource Rooms</t>
  </si>
  <si>
    <t>HSF: SPort &amp; Recreation</t>
  </si>
  <si>
    <t>Pur FA - Nelson</t>
  </si>
  <si>
    <t>Pur FA - Administration</t>
  </si>
  <si>
    <t>Pur FA - Christchurch</t>
  </si>
  <si>
    <t>Pur FA - Core School</t>
  </si>
  <si>
    <t>Pur FA - Gisborne VRC</t>
  </si>
  <si>
    <t>Pur FA - Hamilton</t>
  </si>
  <si>
    <t>Pur FA - National Assessment</t>
  </si>
  <si>
    <t>Pur FA - Otago</t>
  </si>
  <si>
    <t>Pur FA - Palmerston North</t>
  </si>
  <si>
    <t>Pur FA - Playground</t>
  </si>
  <si>
    <t>Pur FA - Residential</t>
  </si>
  <si>
    <t>Pur FA - Southland</t>
  </si>
  <si>
    <t>Pur FA - Taranaki</t>
  </si>
  <si>
    <t>Pur FA - Tauranga</t>
  </si>
  <si>
    <t>Pur FA - Wellington</t>
  </si>
  <si>
    <t>Pur FA - A&amp;T Service</t>
  </si>
  <si>
    <t>Pur FA - DOM</t>
  </si>
  <si>
    <t>Pur FA - Immersion</t>
  </si>
  <si>
    <t>Pur FA - Donations</t>
  </si>
  <si>
    <t>Grants</t>
  </si>
  <si>
    <t>Operations Grant</t>
  </si>
  <si>
    <t>Moe Residential grant</t>
  </si>
  <si>
    <t>E</t>
  </si>
  <si>
    <t>F</t>
  </si>
  <si>
    <t>G</t>
  </si>
  <si>
    <t>H</t>
  </si>
  <si>
    <t>I</t>
  </si>
  <si>
    <t>J</t>
  </si>
  <si>
    <t>Other Moe Grants</t>
  </si>
  <si>
    <t>K</t>
  </si>
  <si>
    <t>L</t>
  </si>
  <si>
    <t>Total</t>
  </si>
  <si>
    <t>Total value</t>
  </si>
  <si>
    <t>Use of land and buildings</t>
  </si>
  <si>
    <t>Other Employees</t>
  </si>
  <si>
    <t xml:space="preserve">        Salary and other payments</t>
  </si>
  <si>
    <t xml:space="preserve">        Benefits and other emoluments</t>
  </si>
  <si>
    <t>Salaries and other short tem employee benefits:</t>
  </si>
  <si>
    <t>Assessment Stock</t>
  </si>
  <si>
    <t>S</t>
  </si>
  <si>
    <t>LL</t>
  </si>
  <si>
    <t>MOE Portion Laptop leases</t>
  </si>
  <si>
    <t>MOE PORTION Laptop lease</t>
  </si>
  <si>
    <t>100-110</t>
  </si>
  <si>
    <t xml:space="preserve">Furniture and equipment </t>
  </si>
  <si>
    <t>Investments</t>
  </si>
  <si>
    <t>Motor Vehicles</t>
  </si>
  <si>
    <t xml:space="preserve">     Activities</t>
  </si>
  <si>
    <t xml:space="preserve">     Trading</t>
  </si>
  <si>
    <t xml:space="preserve">     Donations</t>
  </si>
  <si>
    <t xml:space="preserve">     Fundraising</t>
  </si>
  <si>
    <t>Motor vehicles</t>
  </si>
  <si>
    <t xml:space="preserve">The disclosure for 'Other Employees' does not include remuneration of the Principal.  </t>
  </si>
  <si>
    <t>Investments (more than 12 months)</t>
  </si>
  <si>
    <t>The total value of compensation or other benefits paid or payable to persons who ceased to be trustees, committee members, or employees during the financial year in relation to that cessation and number of persons to whom all or part of that total was as follows:</t>
  </si>
  <si>
    <t>Building improvements - Crown only</t>
  </si>
  <si>
    <t>Equity</t>
  </si>
  <si>
    <t xml:space="preserve">     Fundraising (costs of raising funds)</t>
  </si>
  <si>
    <t>The carrying value of payables approximates their fair value.</t>
  </si>
  <si>
    <t>Statement of Financial Position</t>
  </si>
  <si>
    <t xml:space="preserve">        Termination benefits</t>
  </si>
  <si>
    <t>Net Surplus (Deficit)</t>
  </si>
  <si>
    <t>Non-current Assets</t>
  </si>
  <si>
    <t>Non-current Liabilities</t>
  </si>
  <si>
    <t>The above Statement of Financial Position should be read in conjunction with the accompanying notes.</t>
  </si>
  <si>
    <t>The above Statement of Changes in Equity should be read in conjunction with the accompanying notes.</t>
  </si>
  <si>
    <t>The above Statement of Comprehensive Income should be read in conjunction with the accompanying notes.</t>
  </si>
  <si>
    <t>Period</t>
  </si>
  <si>
    <t>Year</t>
  </si>
  <si>
    <t>School number</t>
  </si>
  <si>
    <t>Email:</t>
  </si>
  <si>
    <t>Fax:</t>
  </si>
  <si>
    <t>Telephone:</t>
  </si>
  <si>
    <t>Postal Address:</t>
  </si>
  <si>
    <t>School Address:</t>
  </si>
  <si>
    <t>FINANCIAL STATEMENTS</t>
  </si>
  <si>
    <t xml:space="preserve"> </t>
  </si>
  <si>
    <t>Notes to the Financial Statements</t>
  </si>
  <si>
    <t>Statement of Responsibility</t>
  </si>
  <si>
    <t>Name</t>
  </si>
  <si>
    <t>The financial statements have been prepared on a GST exclusive basis, with the exception of accounts receivable and accounts payable which are stated as GST inclusive.</t>
  </si>
  <si>
    <t>Investments that are shares are categorised as “available for sale” for accounting purposes in accordance with financial reporting standards.</t>
  </si>
  <si>
    <t>GST</t>
  </si>
  <si>
    <t>Staffing Banking underusage</t>
  </si>
  <si>
    <t>Income in advance</t>
  </si>
  <si>
    <t>Doherty fund</t>
  </si>
  <si>
    <t>Fixed assets</t>
  </si>
  <si>
    <t>HSF funds</t>
  </si>
  <si>
    <t>Software costs</t>
  </si>
  <si>
    <t>l) Intangible Assets</t>
  </si>
  <si>
    <t>12.5% Diminishing value</t>
  </si>
  <si>
    <t>4 years</t>
  </si>
  <si>
    <t>Furniture and equipment</t>
  </si>
  <si>
    <t>Building improvements – Crown</t>
  </si>
  <si>
    <t>The estimated useful lives of the assets are:</t>
  </si>
  <si>
    <t xml:space="preserve">Depreciation </t>
  </si>
  <si>
    <t>Leased Assets</t>
  </si>
  <si>
    <t xml:space="preserve">Improvements to buildings owned by the Crown are recorded at cost, less accumulated depreciation and impairment losses.  </t>
  </si>
  <si>
    <t>Relieving Teacher Days Nat Ass</t>
  </si>
  <si>
    <t>Salaries Acc Nat Asses</t>
  </si>
  <si>
    <t>Rubbish Disposal</t>
  </si>
  <si>
    <t>Stores</t>
  </si>
  <si>
    <t>Recreational Outings</t>
  </si>
  <si>
    <t>Student Travel - Air</t>
  </si>
  <si>
    <t>Student Travel - Taxis</t>
  </si>
  <si>
    <t>Medical Fees</t>
  </si>
  <si>
    <t>Hostels R &amp; M</t>
  </si>
  <si>
    <t>Psychologist Contract</t>
  </si>
  <si>
    <t>Counselling Contract</t>
  </si>
  <si>
    <t>Staff Training</t>
  </si>
  <si>
    <t>Hostels Staff Trav Reimb</t>
  </si>
  <si>
    <t>Admin New Building Costs</t>
  </si>
  <si>
    <t>Transition Programmes</t>
  </si>
  <si>
    <t>Security</t>
  </si>
  <si>
    <t>Contracted Staff (Early Child)</t>
  </si>
  <si>
    <t>Contracted Staff (Add Courses)</t>
  </si>
  <si>
    <t>Meals</t>
  </si>
  <si>
    <t>Contracted Staff - Curriculum</t>
  </si>
  <si>
    <t>Salaries - Teaching Staff</t>
  </si>
  <si>
    <t>Acc</t>
  </si>
  <si>
    <t>Staff Travel Reimbursement</t>
  </si>
  <si>
    <t>Immersion  Consumables</t>
  </si>
  <si>
    <t>Salaries - Admin Immersion</t>
  </si>
  <si>
    <t>Hireage Of Facilities</t>
  </si>
  <si>
    <t>New Building Cost Ris</t>
  </si>
  <si>
    <t>Emergency Course Funds</t>
  </si>
  <si>
    <t>Child &amp; Family (Early Childhoo</t>
  </si>
  <si>
    <t>Child&amp;Family (Additional Cours</t>
  </si>
  <si>
    <t>Child &amp; Fam (Blind Learners)</t>
  </si>
  <si>
    <t>Senior Musicianship</t>
  </si>
  <si>
    <t>Junior Or Inter Musicianship</t>
  </si>
  <si>
    <t>Intermediate Musicianship</t>
  </si>
  <si>
    <t>Contingency Course</t>
  </si>
  <si>
    <t>Performing Arts</t>
  </si>
  <si>
    <t>Careers &amp; F/P Yrs 12+</t>
  </si>
  <si>
    <t>Career/Future Plan Yrs 11-12</t>
  </si>
  <si>
    <t>Braillenote Connections</t>
  </si>
  <si>
    <t>Technology L/Vision Napier</t>
  </si>
  <si>
    <t>Braillenote Basics</t>
  </si>
  <si>
    <t>Low Vision Laptops Northern</t>
  </si>
  <si>
    <t>Low Vision 9-12 years</t>
  </si>
  <si>
    <t>Technology For Music Comp</t>
  </si>
  <si>
    <t>Technology</t>
  </si>
  <si>
    <t>Life Skills</t>
  </si>
  <si>
    <t>Maths/Life Skills</t>
  </si>
  <si>
    <t>Braille Learners 9-12 Yrs</t>
  </si>
  <si>
    <t>Braille Learners - Life Skills</t>
  </si>
  <si>
    <t>School Immersion Placement</t>
  </si>
  <si>
    <t>Literacy Jnr Br Or Duel Print</t>
  </si>
  <si>
    <t>Physical Education L/Vision</t>
  </si>
  <si>
    <t>Pre Course Planning</t>
  </si>
  <si>
    <t>Teenage Drama Workshop</t>
  </si>
  <si>
    <t>Deanwell - Telecommunications</t>
  </si>
  <si>
    <t>Muffin Break</t>
  </si>
  <si>
    <t>Resource Production Materials</t>
  </si>
  <si>
    <t>Hamilton - Salaries</t>
  </si>
  <si>
    <t>Timaru operations</t>
  </si>
  <si>
    <t>West Coast Operations</t>
  </si>
  <si>
    <t>Christchurch - Salaries</t>
  </si>
  <si>
    <t>Staff funded from 2009 Surplus</t>
  </si>
  <si>
    <t>Sovereign Trust</t>
  </si>
  <si>
    <t>Gisbone - Salaries</t>
  </si>
  <si>
    <t>Education Resources</t>
  </si>
  <si>
    <t>Curriculum Days</t>
  </si>
  <si>
    <t>Napier - Salaries</t>
  </si>
  <si>
    <t>Inservice Course Expenses</t>
  </si>
  <si>
    <t>Palmerston North - Salaries</t>
  </si>
  <si>
    <t>Professional Materials</t>
  </si>
  <si>
    <t>Tauranga - Salaries</t>
  </si>
  <si>
    <t>0.2 FTE teacher Time</t>
  </si>
  <si>
    <t>New Plymouth - Salaries</t>
  </si>
  <si>
    <t>Educational Equipment</t>
  </si>
  <si>
    <t>Accounting Fees</t>
  </si>
  <si>
    <t>Computer/Software Expenses</t>
  </si>
  <si>
    <t>General</t>
  </si>
  <si>
    <t>R&amp;M - Office Equipment</t>
  </si>
  <si>
    <t>Stationery/Printing</t>
  </si>
  <si>
    <t>Bank Charges</t>
  </si>
  <si>
    <t>Expenses - Furn Grant New Scho</t>
  </si>
  <si>
    <t>New School Expenses</t>
  </si>
  <si>
    <t>Insurance - School</t>
  </si>
  <si>
    <t>Principals Expenses</t>
  </si>
  <si>
    <t>Ict Technical Support</t>
  </si>
  <si>
    <t>ICT Staffing</t>
  </si>
  <si>
    <t>On-Line Charges</t>
  </si>
  <si>
    <t>Ict Expenses</t>
  </si>
  <si>
    <t>Ict Travel &amp; Accommodation</t>
  </si>
  <si>
    <t>Misc Service Centre Fees</t>
  </si>
  <si>
    <t>Charter Consultation</t>
  </si>
  <si>
    <t>Sector Forums</t>
  </si>
  <si>
    <t>International Conferences</t>
  </si>
  <si>
    <t>Communication Strategy</t>
  </si>
  <si>
    <t>Senior Management Team Expense</t>
  </si>
  <si>
    <t>Special Project Expenses</t>
  </si>
  <si>
    <t>Vehicle Leases</t>
  </si>
  <si>
    <t>Registration</t>
  </si>
  <si>
    <t>Acc Levy - Admin</t>
  </si>
  <si>
    <t>Recruitment - Admin Staff</t>
  </si>
  <si>
    <t>Salaries - Admin</t>
  </si>
  <si>
    <t>Training Costs - Admin Staff</t>
  </si>
  <si>
    <t>Blennz Wide Staff Training</t>
  </si>
  <si>
    <t>Eap Counselling Services</t>
  </si>
  <si>
    <t>Insurance - Moe Scheme</t>
  </si>
  <si>
    <t>Carpets/Pest Control</t>
  </si>
  <si>
    <t>Sanitary Disposal</t>
  </si>
  <si>
    <t>Renovation Rubbish Disposal</t>
  </si>
  <si>
    <t>Non cash generating assets</t>
  </si>
  <si>
    <t>Property, plant, and equipment and intangible assets held at cost that have a finite useful life are reviewed for impairment whenever events or changes in circumstances indicate that the carrying amount may not be recoverable.  An impairment loss is recognised for the amount by which the asset's carrying amount exceeds its recoverable service amount.  The recoverable service amount is the higher of an asset's fair value less costs to sell and value in use.</t>
  </si>
  <si>
    <t>Value in use is determined using an approach based on either a depreciated replacement cost approach, restoration cost approach, or a service units approach.  The most appropriate approach used to measure value in use depends on the nature of the impairment and availability of information.</t>
  </si>
  <si>
    <t>If an asset's carrying amount exceeds its recoverable service amount, the asset is regarded as impaired and the carrying amount is written down to the recoverable amount.  The total impairment loss is recognised in the surplus or deficit.</t>
  </si>
  <si>
    <t>The reversal of an impairment loss is recognised in the surplus or deficit.</t>
  </si>
  <si>
    <t>Employee benefits that are due to be settled within 12 months after the end of the period in which the employee renders the related service are measured based on accrued entitlements at current rates of pay.  These include salaries and wages accrued up to balance date, annual leave earned to but not yet taken at balance date.</t>
  </si>
  <si>
    <t>From time to time the school receives services in-kind, including the time of volunteers.  The school has elected not to recognise services received in kind in the Statement of Comprehensive Revenue and Expense.</t>
  </si>
  <si>
    <t>The financial statements have been prepared on a going concern basis, and the accounting policies have been consistently applied throughout the period</t>
  </si>
  <si>
    <t>** Government Grants</t>
  </si>
  <si>
    <t>TRL Lease MOE Portion Finance</t>
  </si>
  <si>
    <t>Lease interest</t>
  </si>
  <si>
    <t>MOE Study Award income</t>
  </si>
  <si>
    <t>MOE Study Award Expenses</t>
  </si>
  <si>
    <t>Guidance Counsellor contract</t>
  </si>
  <si>
    <t>DOM Expenses</t>
  </si>
  <si>
    <t>Regional IT Facilitator Support</t>
  </si>
  <si>
    <t>Regional 3R Payments</t>
  </si>
  <si>
    <t>Network Project Secondment</t>
  </si>
  <si>
    <t>Regional Health &amp; Safety</t>
  </si>
  <si>
    <t>Interpreter Costs</t>
  </si>
  <si>
    <t>Software Expenses</t>
  </si>
  <si>
    <t>Resource Mgmt Project</t>
  </si>
  <si>
    <t>Novopay leave adjustment</t>
  </si>
  <si>
    <t>OLE Insurance</t>
  </si>
  <si>
    <t>Team Meetings</t>
  </si>
  <si>
    <t>Course Fees Year 2</t>
  </si>
  <si>
    <t>Course Fees Blindfold</t>
  </si>
  <si>
    <t>Relief Staffing</t>
  </si>
  <si>
    <t>Prepaid Interest</t>
  </si>
  <si>
    <t>Photocopier lease CSG</t>
  </si>
  <si>
    <t>Vistab Lease</t>
  </si>
  <si>
    <t>TRL Finance Lease Current</t>
  </si>
  <si>
    <t>Prepaid interest</t>
  </si>
  <si>
    <t>Photocopier Lease CSG</t>
  </si>
  <si>
    <t>TRL FInance Lease Term</t>
  </si>
  <si>
    <t>Gain/(Loss) on Disposal</t>
  </si>
  <si>
    <t>Pur FA - AVRC North-West</t>
  </si>
  <si>
    <t>Pur FA - AVRC South-East</t>
  </si>
  <si>
    <t>C680</t>
  </si>
  <si>
    <t>C685</t>
  </si>
  <si>
    <t>TRL Lease asset</t>
  </si>
  <si>
    <t>D03</t>
  </si>
  <si>
    <t>Tauranga New Build</t>
  </si>
  <si>
    <t>D03E</t>
  </si>
  <si>
    <t>Statement of Cash flows</t>
  </si>
  <si>
    <t>Other Notes and Disclosures</t>
  </si>
  <si>
    <t>Interest Earned</t>
  </si>
  <si>
    <t>Finance Costs</t>
  </si>
  <si>
    <t>Statement of Cash Flows</t>
  </si>
  <si>
    <t xml:space="preserve">The school qualifies for Tier 2 as the school is not publicaly accountable and is not considered large as it falls below the expenditure threshold of $30 million per year.  All relevant reduced disclosure concessions have been taken.  </t>
  </si>
  <si>
    <t>The preparation of financial statements requires management to make judgements, estimates and assumptions that affect the application of accounting policies and the reported amounts of assets, liabilities, revenue and expenses. Actual results may differ from these estimates. 
Estimates and underlying assumptions are reviewed on an ongoing basis. Revisions to accounting estimates are recognised in the period in which the estimate is revised and in any future periods affected.</t>
  </si>
  <si>
    <t>Useful lives of property, plant and equipment</t>
  </si>
  <si>
    <t>Critical Judgements in applying accounting policies</t>
  </si>
  <si>
    <t>Management has exercised the following critical judgements in applying accouting policies:</t>
  </si>
  <si>
    <t>Classification of leases</t>
  </si>
  <si>
    <t>Recognition of grants</t>
  </si>
  <si>
    <t>The School reviews the grants monies received at the end of each reporting period and whether any require a provision to carryforward amounts unspent. The School believes all grants received have been appropriately recognised as a liability if required. Government grants are disclosed at note 2.</t>
  </si>
  <si>
    <t>Cash and cash equivalents include cash on hand, bank balances, deposits held at call with banks, and other short term highly liquid investments with original maturities of 90 days or less, and bank overdrafts.  The carrying amount of cash and cash equivalents represent fair value.</t>
  </si>
  <si>
    <t xml:space="preserve">Accounts Receivable represents items that the School has issued invoices for or accrued for, but has not received payment for at year end. Receivables are initially recorded at fair value and subsequently recorded at the amount the School realistically expects to receive. A receivable is considered uncollectable where there is objective evidence the School will not be able to collect all amounts due. The amount that is uncollectable (the provision for uncollectibility) is the difference between the amount due and the present value of the amounts expected to be collected. </t>
  </si>
  <si>
    <t>Bank term deposits are initially measured at the amount invested.  Interest is subsequently accrued and added to the investment balance.</t>
  </si>
  <si>
    <t>Investments that are shares are categorised as "available for sale" for accounting purposes in accordance with financial reporting standards.  Share investments are recognised initially by the School at fair value plus transaction costs.  At balance date the School has assessed whether there is any evidence that an investment is impaired.  Any impairment, gains or losses are recognised in the Statement of Comprehensive Revenue and Expense.</t>
  </si>
  <si>
    <t>After initial recognition bank term deposits are measured at amortised cost using the effective interest method less impairment.</t>
  </si>
  <si>
    <t>After initial recognition any investments categorised as available for sale are measured at their fair value without any deduction for transaction costs the school may incur on sale or other disposal.</t>
  </si>
  <si>
    <t>Property, plant and equipment acquired with individual values under $500 are not capitalised, they are recognised as an expense in the Statement of Comprehensive Revenue and Expense.</t>
  </si>
  <si>
    <t>The School has entered into a number of finance lease agreements for computers.  Minimum lease payments payable:</t>
  </si>
  <si>
    <t>No Later than One Year</t>
  </si>
  <si>
    <t>Later than One Year and no Later than Five Years</t>
  </si>
  <si>
    <t>Later than Five Years</t>
  </si>
  <si>
    <t>Finance Lease Liability</t>
  </si>
  <si>
    <t>BOT Contribution/ (Write-off to R&amp;M)</t>
  </si>
  <si>
    <t>Opening</t>
  </si>
  <si>
    <t>Receipts</t>
  </si>
  <si>
    <t>Closing</t>
  </si>
  <si>
    <t>Balances</t>
  </si>
  <si>
    <t>from MoE</t>
  </si>
  <si>
    <t>Payments</t>
  </si>
  <si>
    <t>Totals</t>
  </si>
  <si>
    <t>Represented by:</t>
  </si>
  <si>
    <t>Funds Held on Behalf of the Ministry of Education</t>
  </si>
  <si>
    <t>Funds Due from the Ministry of Education</t>
  </si>
  <si>
    <t>Funds Held for Capital Works Projects</t>
  </si>
  <si>
    <t xml:space="preserve">Tauranga </t>
  </si>
  <si>
    <t>Key management personnel of the school include all trustees of the board, principal, deputy principals and head of departments</t>
  </si>
  <si>
    <t>Board members</t>
  </si>
  <si>
    <t>Full-time Equivalent members</t>
  </si>
  <si>
    <t>Leadership team</t>
  </si>
  <si>
    <t>Full-time equivalent members</t>
  </si>
  <si>
    <t>The full time equivalent of Board members has been determined based on attendance at Board meetings, Committee meetings and for other obligations of the Board, such as stand downs and suspensions, plus the estimated time for Board members to prepare for meetings.</t>
  </si>
  <si>
    <t>Financial Instruments</t>
  </si>
  <si>
    <t>Balance at 31 December 2016</t>
  </si>
  <si>
    <t>See code 10430</t>
  </si>
  <si>
    <t>See code 10902</t>
  </si>
  <si>
    <t>(b) Vehicles</t>
  </si>
  <si>
    <t>Receivables from the Ministry of Education</t>
  </si>
  <si>
    <t>Finance costs</t>
  </si>
  <si>
    <t>Finance Lease term liability</t>
  </si>
  <si>
    <t>Lease liability</t>
  </si>
  <si>
    <t>Add back Novopay adjustments</t>
  </si>
  <si>
    <t>ACC</t>
  </si>
  <si>
    <t>Not wages</t>
  </si>
  <si>
    <t>Code 46800-813.04,4+46864 $7855,46880 $310,46885 $64112,46886 $3040</t>
  </si>
  <si>
    <t>Wages under ORRS (33500,33520,33550</t>
  </si>
  <si>
    <t>Non wages in code 38220 (residential wages)- includes the settlements</t>
  </si>
  <si>
    <t>2 McVilly Road, Manurewa</t>
  </si>
  <si>
    <t>Transfer to Homai</t>
  </si>
  <si>
    <t>The School reviews the details of lease agreements at the end of each reporting date. The School believes the classification of each lease as either operation or finance is appropriate and reflects the nature of the agreement in place. Finance leases are disclosed at note 20.</t>
  </si>
  <si>
    <t>l) Impairment of property, plant, and equipment and intangible assets</t>
  </si>
  <si>
    <t>m) Accounts Payable</t>
  </si>
  <si>
    <t>n) Employee Entitlements</t>
  </si>
  <si>
    <t>o) Revenue Received in Advance</t>
  </si>
  <si>
    <t xml:space="preserve">p) Funds Held in Trust </t>
  </si>
  <si>
    <t xml:space="preserve">q) Shared Funds </t>
  </si>
  <si>
    <r>
      <t>r) Provision for Cyclical Maintenance</t>
    </r>
    <r>
      <rPr>
        <b/>
        <sz val="12"/>
        <color indexed="23"/>
        <rFont val="Arial"/>
        <family val="2"/>
      </rPr>
      <t xml:space="preserve"> </t>
    </r>
  </si>
  <si>
    <t>s) Financial Assets and Liabilities</t>
  </si>
  <si>
    <t>t) Borrowings</t>
  </si>
  <si>
    <t>12 - 21</t>
  </si>
  <si>
    <t>6 - 21</t>
  </si>
  <si>
    <t>22 - 25</t>
  </si>
  <si>
    <t>Independent Auditor's Report</t>
  </si>
  <si>
    <t>FOR THE YEAR ENDED 31 DECEMBER 2017</t>
  </si>
  <si>
    <t>Financial Statements - For the year ending 31 December 2017</t>
  </si>
  <si>
    <r>
      <t>For the year ended 31 December</t>
    </r>
    <r>
      <rPr>
        <sz val="14"/>
        <rFont val="Arial"/>
        <family val="2"/>
      </rPr>
      <t xml:space="preserve"> 2017</t>
    </r>
  </si>
  <si>
    <t>31 December 2017.</t>
  </si>
  <si>
    <t>For the year ended 31 December 2017</t>
  </si>
  <si>
    <t>As at 31 December 2017</t>
  </si>
  <si>
    <r>
      <t xml:space="preserve">For the year ended 31 December </t>
    </r>
    <r>
      <rPr>
        <sz val="14"/>
        <rFont val="Arial"/>
        <family val="2"/>
      </rPr>
      <t>2017</t>
    </r>
  </si>
  <si>
    <t>There were no contingent assets or liabilities as at 31 December 2017. (2016:Nil)</t>
  </si>
  <si>
    <t>(Capital commitments at 31 December 2016: Nil)</t>
  </si>
  <si>
    <t xml:space="preserve">As at 31 December 2017 the Board has entered into the following contracts: </t>
  </si>
  <si>
    <t>financial statements.(2016: Nil)</t>
  </si>
  <si>
    <t>PB4L Grant</t>
  </si>
  <si>
    <t>PB4L</t>
  </si>
  <si>
    <t>Youth Worker Salaries</t>
  </si>
  <si>
    <t>Consumables - Transition Programme</t>
  </si>
  <si>
    <t>VRC Property Costs</t>
  </si>
  <si>
    <t>Resources Project</t>
  </si>
  <si>
    <t>Medical Database Contract</t>
  </si>
  <si>
    <t>Network ICT Expenses</t>
  </si>
  <si>
    <t>R &amp; M Buildings - Tauranga</t>
  </si>
  <si>
    <t>ADL Professional Development</t>
  </si>
  <si>
    <t>Course Fees - Year 3</t>
  </si>
  <si>
    <t>Course Fees - ADL</t>
  </si>
  <si>
    <t>ASB Account 01</t>
  </si>
  <si>
    <t>Sundry Debtors</t>
  </si>
  <si>
    <t>Auckland North VRC</t>
  </si>
  <si>
    <t>The carrying value of long term deposits longher than 12 months approximates their fair value at 31 December 2017</t>
  </si>
  <si>
    <t>The School have a contract with Homai Early Childhood Education Centre to provide services.  
The value of this contract is $18,830 excl GST (2016: $18,830 excl GST)</t>
  </si>
  <si>
    <t>The School receive the grant for Homai Early Childhood Education Centre, and pay it out to the Centre when received.  The school paid out $170,972 during 2017.(2016: $170,972)</t>
  </si>
  <si>
    <t>0 - 10</t>
  </si>
  <si>
    <t>110-120</t>
  </si>
  <si>
    <t>Other Compensation</t>
  </si>
  <si>
    <t>During the 2016 year sleep-over settlements were paid to affected staff at the conclusion of the employment court case. There are no further compensation payments expected.</t>
  </si>
  <si>
    <t>Month</t>
  </si>
  <si>
    <t>Actual_YTD</t>
  </si>
  <si>
    <t>LYTD</t>
  </si>
  <si>
    <t>LY_Actual</t>
  </si>
  <si>
    <t>XC999</t>
  </si>
  <si>
    <t>EOY</t>
  </si>
  <si>
    <t>completed</t>
  </si>
  <si>
    <t>Equity at 31 December 2017</t>
  </si>
  <si>
    <t xml:space="preserve">      For the year ended 31 December 2017</t>
  </si>
  <si>
    <t>The financial reports have been prepared for the period 1 January 2017 to 31 December 2017 and in accordance with the requirements of the Public Finance Act 1989</t>
  </si>
  <si>
    <t>t) Goods and Services Tax (GST)</t>
  </si>
  <si>
    <t xml:space="preserve">u) Budget Figures </t>
  </si>
  <si>
    <t>v) Services received in-kind</t>
  </si>
  <si>
    <t>Balance at 31 December 2017</t>
  </si>
  <si>
    <t>The board has a cash management plan to ensure that sufficient cash is available to meet all maintenance obligations as they fall due over the next 10 years.  The amount recognised as a provision is the best estimate of the expenditure required to settle the present obligations as at 31 December 2017.  Present obligations are identified in the school's current 10 year property plan approved by the Ministry of Education. The provision has not been adjusted for inflation and the effect of the time value of money.</t>
  </si>
  <si>
    <t>During the year the School did not receive or apply funding from the Ministry of Education for capital works projects.</t>
  </si>
  <si>
    <t>Completed</t>
  </si>
  <si>
    <t>As at 31 December 2017 the school has committed to spend $3.68m in 2018 on the upgrade of the swimming pool building. The Ministry has approved funding for this project. Tender procedures have not yet been initiated.</t>
  </si>
  <si>
    <t>The School's 2017 financial statements are authorised for issue by the Board.</t>
  </si>
  <si>
    <t>ended 31 December 2017 fairly reflects the financial position and operations of the school.</t>
  </si>
  <si>
    <t>The School reviews the estimated useful lives of property, plant and equipment at the end of each reporting date. The School believes that the estimated useful lives of the property, plant and equipment as disclosed in the Significant Accounting Policies are appropriate to the nature of the property, plant and equipment at reporting date. Property, plant and equipment is disclosed at note 16.</t>
  </si>
  <si>
    <t xml:space="preserve">Use of land and building grants are recorded as revenue in the period the school uses the land and buildings.  These are not received in cash by the school as they equate to the deemed expense for using the land and buildings which are owned by the Crown. </t>
  </si>
  <si>
    <t>Donations, Gifts and Bequests</t>
  </si>
  <si>
    <t xml:space="preserve">The net amount of GST paid to, or received from the IRD, including the GST relating to investing and financing activities, is classified as a net operating cash flow in the statements of cash flows.  </t>
  </si>
  <si>
    <t>Commitments and contingencies are disclosed exclusive of GST.</t>
  </si>
  <si>
    <t>Of the $2,723,520 in the School's funds, $208,028 is held on behalf of Homai Special Funds (2016: $209,528)</t>
  </si>
  <si>
    <t xml:space="preserve"> 6 - 11</t>
  </si>
  <si>
    <t xml:space="preserve">The statement of cash flows records only those cash flows directly within the control of the School.  </t>
  </si>
  <si>
    <t>This means centrally funded teachers' salaries and the use of land and buildings grant and expense have been omitted.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</si>
</sst>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1" formatCode="_(* #,##0_);_(* \(#,##0\);_(* &quot;-&quot;_);_(@_)"/>
    <numFmt numFmtId="164" formatCode="&quot;$&quot;#,##0;\-&quot;$&quot;#,##0"/>
    <numFmt numFmtId="165" formatCode="&quot;$&quot;#,##0;[Red]\-&quot;$&quot;#,##0"/>
    <numFmt numFmtId="166" formatCode="_-* #,##0_-;\-* #,##0_-;_-* &quot;-&quot;_-;_-@_-"/>
    <numFmt numFmtId="167" formatCode="_-&quot;$&quot;* #,##0.00_-;\-&quot;$&quot;* #,##0.00_-;_-&quot;$&quot;* &quot;-&quot;??_-;_-@_-"/>
    <numFmt numFmtId="168" formatCode="_-* #,##0.00_-;\-* #,##0.00_-;_-* &quot;-&quot;??_-;_-@_-"/>
    <numFmt numFmtId="169" formatCode="_-* #,##0_-;\-* #,##0_-;_-* &quot;-&quot;??_-;_-@_-"/>
    <numFmt numFmtId="170" formatCode="_(* #,##0_);_(* \(#,##0\);_(* &quot;-&quot;??_);_(@_)"/>
    <numFmt numFmtId="171" formatCode="#,##0;\(#,##0\)"/>
    <numFmt numFmtId="172" formatCode="_-* #,##0_-;\(* #,##0_);_-* &quot;-&quot;??_-;_-@_-"/>
    <numFmt numFmtId="173" formatCode="_(* #,##0_);_(* \(#,##0\);_(* &quot;-&quot;??_);_-@_-"/>
    <numFmt numFmtId="174" formatCode="#,##0.00000000000"/>
    <numFmt numFmtId="175" formatCode="#,###,##0;\(#,###,##0\)"/>
    <numFmt numFmtId="176" formatCode="_(* #,##0.00_);_(* \(#,##0.00\);_(* &quot;-&quot;??_);_-@_-"/>
  </numFmts>
  <fonts count="87" x14ac:knownFonts="1">
    <font>
      <sz val="10"/>
      <name val="Arial"/>
    </font>
    <font>
      <sz val="11"/>
      <color theme="1"/>
      <name val="Calibri"/>
      <family val="2"/>
      <scheme val="minor"/>
    </font>
    <font>
      <sz val="10"/>
      <name val="Arial"/>
      <family val="2"/>
    </font>
    <font>
      <b/>
      <sz val="10"/>
      <name val="Arial"/>
      <family val="2"/>
    </font>
    <font>
      <sz val="10"/>
      <name val="Arial"/>
      <family val="2"/>
    </font>
    <font>
      <i/>
      <sz val="10"/>
      <name val="Arial"/>
      <family val="2"/>
    </font>
    <font>
      <sz val="14"/>
      <name val="Arial"/>
      <family val="2"/>
    </font>
    <font>
      <b/>
      <sz val="18"/>
      <name val="Arial"/>
      <family val="2"/>
    </font>
    <font>
      <b/>
      <sz val="10"/>
      <name val="Arial"/>
      <family val="2"/>
    </font>
    <font>
      <u/>
      <sz val="10"/>
      <color indexed="12"/>
      <name val="Arial"/>
      <family val="2"/>
    </font>
    <font>
      <b/>
      <sz val="12"/>
      <name val="Arial"/>
      <family val="2"/>
    </font>
    <font>
      <sz val="10"/>
      <color indexed="23"/>
      <name val="Arial"/>
      <family val="2"/>
    </font>
    <font>
      <sz val="10"/>
      <color indexed="10"/>
      <name val="Arial"/>
      <family val="2"/>
    </font>
    <font>
      <i/>
      <sz val="8"/>
      <name val="Arial"/>
      <family val="2"/>
    </font>
    <font>
      <sz val="10"/>
      <name val="Arial"/>
      <family val="2"/>
    </font>
    <font>
      <b/>
      <sz val="12"/>
      <name val="Arial"/>
      <family val="2"/>
    </font>
    <font>
      <sz val="8"/>
      <name val="Arial"/>
      <family val="2"/>
    </font>
    <font>
      <i/>
      <sz val="10"/>
      <name val="Arial"/>
      <family val="2"/>
    </font>
    <font>
      <sz val="10"/>
      <name val="Arial"/>
      <family val="2"/>
    </font>
    <font>
      <b/>
      <sz val="10"/>
      <color indexed="10"/>
      <name val="Arial"/>
      <family val="2"/>
    </font>
    <font>
      <b/>
      <sz val="11"/>
      <name val="Arial"/>
      <family val="2"/>
    </font>
    <font>
      <sz val="11"/>
      <name val="Arial"/>
      <family val="2"/>
    </font>
    <font>
      <b/>
      <sz val="14"/>
      <name val="Arial"/>
      <family val="2"/>
    </font>
    <font>
      <sz val="14"/>
      <name val="Arial"/>
      <family val="2"/>
    </font>
    <font>
      <sz val="10"/>
      <color indexed="8"/>
      <name val="Arial"/>
      <family val="2"/>
    </font>
    <font>
      <sz val="10"/>
      <color indexed="8"/>
      <name val="Arial"/>
      <family val="2"/>
    </font>
    <font>
      <sz val="10"/>
      <color indexed="10"/>
      <name val="Arial"/>
      <family val="2"/>
    </font>
    <font>
      <b/>
      <sz val="11"/>
      <color indexed="8"/>
      <name val="Calibri"/>
      <family val="2"/>
    </font>
    <font>
      <b/>
      <sz val="10"/>
      <color indexed="8"/>
      <name val="Arial"/>
      <family val="2"/>
    </font>
    <font>
      <i/>
      <sz val="10"/>
      <color indexed="10"/>
      <name val="Arial"/>
      <family val="2"/>
    </font>
    <font>
      <i/>
      <sz val="8"/>
      <name val="Arial"/>
      <family val="2"/>
    </font>
    <font>
      <sz val="9"/>
      <name val="Cambria"/>
      <family val="1"/>
    </font>
    <font>
      <sz val="10"/>
      <name val="Times New Roman"/>
      <family val="1"/>
    </font>
    <font>
      <b/>
      <sz val="9"/>
      <name val="Cambria"/>
      <family val="1"/>
    </font>
    <font>
      <b/>
      <sz val="16"/>
      <name val="Times New Roman"/>
      <family val="1"/>
    </font>
    <font>
      <sz val="20"/>
      <name val="Arial"/>
      <family val="2"/>
    </font>
    <font>
      <b/>
      <sz val="24"/>
      <name val="Arial"/>
      <family val="2"/>
    </font>
    <font>
      <sz val="16"/>
      <name val="Times New Roman"/>
      <family val="1"/>
    </font>
    <font>
      <b/>
      <sz val="20"/>
      <name val="Times New Roman"/>
      <family val="1"/>
    </font>
    <font>
      <b/>
      <sz val="12"/>
      <color indexed="23"/>
      <name val="Arial"/>
      <family val="2"/>
    </font>
    <font>
      <b/>
      <i/>
      <sz val="11"/>
      <name val="Arial"/>
      <family val="2"/>
    </font>
    <font>
      <sz val="11"/>
      <color indexed="8"/>
      <name val="Calibri"/>
      <family val="2"/>
    </font>
    <font>
      <b/>
      <sz val="11"/>
      <color indexed="8"/>
      <name val="Calibri"/>
      <family val="2"/>
    </font>
    <font>
      <sz val="11"/>
      <color indexed="10"/>
      <name val="Calibri"/>
      <family val="2"/>
    </font>
    <font>
      <b/>
      <sz val="11"/>
      <color indexed="8"/>
      <name val="Arial"/>
      <family val="2"/>
    </font>
    <font>
      <b/>
      <sz val="12"/>
      <color indexed="8"/>
      <name val="Arial"/>
      <family val="2"/>
    </font>
    <font>
      <b/>
      <i/>
      <sz val="11"/>
      <color indexed="8"/>
      <name val="Arial"/>
      <family val="2"/>
    </font>
    <font>
      <i/>
      <sz val="11"/>
      <color indexed="8"/>
      <name val="Arial"/>
      <family val="2"/>
    </font>
    <font>
      <b/>
      <i/>
      <sz val="11"/>
      <color indexed="8"/>
      <name val="Calibri"/>
      <family val="2"/>
    </font>
    <font>
      <b/>
      <i/>
      <sz val="11"/>
      <color indexed="8"/>
      <name val="Arial"/>
      <family val="2"/>
    </font>
    <font>
      <sz val="11"/>
      <color indexed="8"/>
      <name val="Arial"/>
      <family val="2"/>
    </font>
    <font>
      <b/>
      <sz val="11"/>
      <color indexed="8"/>
      <name val="Arial"/>
      <family val="2"/>
    </font>
    <font>
      <b/>
      <sz val="12"/>
      <color indexed="8"/>
      <name val="Arial"/>
      <family val="2"/>
    </font>
    <font>
      <sz val="11"/>
      <color indexed="10"/>
      <name val="Arial"/>
      <family val="2"/>
    </font>
    <font>
      <sz val="11"/>
      <name val="Calibri"/>
      <family val="2"/>
    </font>
    <font>
      <b/>
      <sz val="11"/>
      <color indexed="23"/>
      <name val="Arial"/>
      <family val="2"/>
    </font>
    <font>
      <b/>
      <sz val="12"/>
      <color indexed="23"/>
      <name val="Arial"/>
      <family val="2"/>
    </font>
    <font>
      <sz val="11"/>
      <color indexed="8"/>
      <name val="Arial"/>
      <family val="2"/>
    </font>
    <font>
      <b/>
      <i/>
      <sz val="12"/>
      <color indexed="8"/>
      <name val="Arial"/>
      <family val="2"/>
    </font>
    <font>
      <sz val="14"/>
      <color indexed="8"/>
      <name val="Arial"/>
      <family val="2"/>
    </font>
    <font>
      <b/>
      <sz val="18"/>
      <color indexed="8"/>
      <name val="Arial"/>
      <family val="2"/>
    </font>
    <font>
      <i/>
      <sz val="11"/>
      <color indexed="8"/>
      <name val="Arial"/>
      <family val="2"/>
    </font>
    <font>
      <i/>
      <sz val="11"/>
      <color indexed="8"/>
      <name val="Calibri"/>
      <family val="2"/>
    </font>
    <font>
      <b/>
      <sz val="12"/>
      <color indexed="8"/>
      <name val="Calibri"/>
      <family val="2"/>
    </font>
    <font>
      <sz val="10"/>
      <name val="Arial"/>
      <family val="2"/>
    </font>
    <font>
      <sz val="8"/>
      <name val="Arial"/>
      <family val="2"/>
    </font>
    <font>
      <b/>
      <u/>
      <sz val="10"/>
      <name val="Arial"/>
      <family val="2"/>
    </font>
    <font>
      <b/>
      <u/>
      <sz val="12"/>
      <name val="Arial"/>
      <family val="2"/>
    </font>
    <font>
      <sz val="10"/>
      <name val="Arial"/>
      <family val="2"/>
    </font>
    <font>
      <sz val="10"/>
      <color indexed="0"/>
      <name val="Arial"/>
      <family val="2"/>
    </font>
    <font>
      <sz val="12"/>
      <name val="Arial"/>
      <family val="2"/>
    </font>
    <font>
      <b/>
      <sz val="26"/>
      <name val="Arial"/>
      <family val="2"/>
    </font>
    <font>
      <sz val="10"/>
      <color indexed="17"/>
      <name val="Arial"/>
      <family val="2"/>
    </font>
    <font>
      <b/>
      <i/>
      <sz val="11"/>
      <color indexed="10"/>
      <name val="Arial"/>
      <family val="2"/>
    </font>
    <font>
      <sz val="11"/>
      <name val="Arial"/>
      <family val="2"/>
    </font>
    <font>
      <i/>
      <sz val="12"/>
      <name val="Arial"/>
      <family val="2"/>
    </font>
    <font>
      <sz val="10"/>
      <name val="Tahoma"/>
      <family val="2"/>
    </font>
    <font>
      <b/>
      <sz val="18"/>
      <name val="Tahoma"/>
      <family val="2"/>
    </font>
    <font>
      <sz val="11"/>
      <color theme="1"/>
      <name val="Calibri"/>
      <family val="2"/>
      <scheme val="minor"/>
    </font>
    <font>
      <u/>
      <sz val="6"/>
      <color theme="10"/>
      <name val="Arial"/>
      <family val="2"/>
    </font>
    <font>
      <sz val="10"/>
      <color theme="1"/>
      <name val="Arial"/>
      <family val="2"/>
    </font>
    <font>
      <b/>
      <sz val="10"/>
      <color theme="1"/>
      <name val="Arial"/>
      <family val="2"/>
    </font>
    <font>
      <b/>
      <sz val="20"/>
      <name val="Arial"/>
      <family val="2"/>
    </font>
    <font>
      <b/>
      <i/>
      <sz val="10"/>
      <name val="Arial"/>
      <family val="2"/>
    </font>
    <font>
      <i/>
      <sz val="10"/>
      <color theme="1"/>
      <name val="Arial"/>
      <family val="2"/>
    </font>
    <font>
      <sz val="10"/>
      <color rgb="FFFF0000"/>
      <name val="Arial"/>
      <family val="2"/>
    </font>
    <font>
      <b/>
      <sz val="12"/>
      <color rgb="FFFF0000"/>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49"/>
        <bgColor indexed="64"/>
      </patternFill>
    </fill>
    <fill>
      <patternFill patternType="solid">
        <fgColor indexed="41"/>
        <bgColor indexed="64"/>
      </patternFill>
    </fill>
    <fill>
      <patternFill patternType="solid">
        <fgColor theme="0"/>
        <bgColor indexed="64"/>
      </patternFill>
    </fill>
  </fills>
  <borders count="16">
    <border>
      <left/>
      <right/>
      <top/>
      <bottom/>
      <diagonal/>
    </border>
    <border>
      <left/>
      <right/>
      <top style="medium">
        <color indexed="64"/>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5">
    <xf numFmtId="0" fontId="0" fillId="0" borderId="0"/>
    <xf numFmtId="171" fontId="4" fillId="0" borderId="0"/>
    <xf numFmtId="168" fontId="2" fillId="0" borderId="0" applyFont="0" applyFill="0" applyBorder="0" applyAlignment="0" applyProtection="0"/>
    <xf numFmtId="168" fontId="4" fillId="0" borderId="0" applyFont="0" applyFill="0" applyBorder="0" applyAlignment="0" applyProtection="0"/>
    <xf numFmtId="168" fontId="2" fillId="0" borderId="0" applyNumberForma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167" fontId="4" fillId="0" borderId="0" applyFont="0" applyFill="0" applyBorder="0" applyAlignment="0" applyProtection="0"/>
    <xf numFmtId="0" fontId="16" fillId="0" borderId="0">
      <alignment horizontal="left"/>
    </xf>
    <xf numFmtId="175" fontId="69" fillId="0" borderId="0"/>
    <xf numFmtId="0" fontId="22" fillId="0" borderId="0">
      <alignment horizontal="left"/>
    </xf>
    <xf numFmtId="0" fontId="9"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2" fillId="0" borderId="0"/>
    <xf numFmtId="0" fontId="4" fillId="0" borderId="0"/>
    <xf numFmtId="0" fontId="2" fillId="0" borderId="0"/>
    <xf numFmtId="0" fontId="78" fillId="0" borderId="0"/>
    <xf numFmtId="0" fontId="4" fillId="0" borderId="0"/>
    <xf numFmtId="0" fontId="4" fillId="0" borderId="0"/>
    <xf numFmtId="9" fontId="2" fillId="0" borderId="0" applyFont="0" applyFill="0" applyBorder="0" applyAlignment="0" applyProtection="0"/>
    <xf numFmtId="0" fontId="2" fillId="0" borderId="0">
      <alignment horizontal="left"/>
    </xf>
    <xf numFmtId="0" fontId="70" fillId="0" borderId="0">
      <alignment horizontal="left"/>
    </xf>
    <xf numFmtId="0" fontId="3" fillId="0" borderId="1"/>
    <xf numFmtId="0" fontId="68" fillId="0" borderId="0"/>
    <xf numFmtId="0" fontId="1" fillId="0" borderId="0"/>
  </cellStyleXfs>
  <cellXfs count="626">
    <xf numFmtId="0" fontId="0" fillId="0" borderId="0" xfId="0"/>
    <xf numFmtId="0" fontId="3" fillId="0" borderId="0" xfId="0" applyFont="1"/>
    <xf numFmtId="0" fontId="0" fillId="0" borderId="0" xfId="0" applyAlignment="1">
      <alignment wrapText="1"/>
    </xf>
    <xf numFmtId="0" fontId="0" fillId="0" borderId="0" xfId="0" applyAlignment="1">
      <alignment horizontal="right"/>
    </xf>
    <xf numFmtId="0" fontId="0" fillId="0" borderId="0" xfId="0" applyAlignment="1">
      <alignment horizontal="center"/>
    </xf>
    <xf numFmtId="3" fontId="0" fillId="0" borderId="0" xfId="0" applyNumberFormat="1"/>
    <xf numFmtId="0" fontId="0" fillId="0" borderId="0" xfId="0" applyAlignment="1"/>
    <xf numFmtId="0" fontId="4" fillId="0" borderId="0" xfId="0" applyFont="1"/>
    <xf numFmtId="0" fontId="0" fillId="0" borderId="0" xfId="0" applyFill="1"/>
    <xf numFmtId="3" fontId="0" fillId="0" borderId="0" xfId="0" applyNumberFormat="1" applyFill="1"/>
    <xf numFmtId="0" fontId="3" fillId="0" borderId="0" xfId="0" applyFont="1" applyFill="1"/>
    <xf numFmtId="0" fontId="4" fillId="0" borderId="0" xfId="0" applyFont="1" applyFill="1"/>
    <xf numFmtId="3" fontId="0" fillId="0" borderId="0" xfId="0" applyNumberFormat="1" applyFill="1" applyBorder="1"/>
    <xf numFmtId="0" fontId="6" fillId="0" borderId="0" xfId="0" applyFont="1" applyAlignment="1">
      <alignment vertical="top"/>
    </xf>
    <xf numFmtId="0" fontId="7" fillId="0" borderId="0" xfId="0" applyFont="1"/>
    <xf numFmtId="0" fontId="8" fillId="0" borderId="0" xfId="0" applyFont="1" applyFill="1" applyAlignment="1">
      <alignment horizontal="center" wrapText="1"/>
    </xf>
    <xf numFmtId="0" fontId="10" fillId="0" borderId="0" xfId="0" applyFont="1" applyFill="1" applyAlignment="1">
      <alignment vertical="top"/>
    </xf>
    <xf numFmtId="0" fontId="11" fillId="0" borderId="0" xfId="0" applyFont="1" applyAlignment="1">
      <alignment horizontal="right"/>
    </xf>
    <xf numFmtId="0" fontId="0" fillId="0" borderId="0" xfId="0" applyFill="1" applyBorder="1"/>
    <xf numFmtId="0" fontId="0" fillId="0" borderId="0" xfId="0" applyBorder="1"/>
    <xf numFmtId="0" fontId="13" fillId="0" borderId="0" xfId="0" applyFont="1"/>
    <xf numFmtId="0" fontId="4" fillId="0" borderId="0" xfId="0" applyFont="1" applyAlignment="1">
      <alignment horizontal="right"/>
    </xf>
    <xf numFmtId="0" fontId="11" fillId="0" borderId="0" xfId="0" applyFont="1"/>
    <xf numFmtId="0" fontId="11" fillId="0" borderId="0" xfId="0" applyFont="1" applyAlignment="1">
      <alignment horizontal="center"/>
    </xf>
    <xf numFmtId="0" fontId="14" fillId="0" borderId="0" xfId="0" applyFont="1"/>
    <xf numFmtId="0" fontId="2" fillId="0" borderId="0" xfId="0" applyFont="1"/>
    <xf numFmtId="0" fontId="2" fillId="0" borderId="0" xfId="0" applyFont="1" applyFill="1"/>
    <xf numFmtId="0" fontId="0" fillId="0" borderId="0" xfId="0" applyFill="1" applyAlignment="1">
      <alignment horizontal="left" indent="1"/>
    </xf>
    <xf numFmtId="0" fontId="2" fillId="0" borderId="0" xfId="0" applyFont="1" applyBorder="1"/>
    <xf numFmtId="0" fontId="0" fillId="0" borderId="0" xfId="0" applyFill="1" applyAlignment="1">
      <alignment wrapText="1"/>
    </xf>
    <xf numFmtId="3" fontId="0" fillId="0" borderId="0" xfId="0" applyNumberFormat="1" applyFill="1" applyBorder="1" applyAlignment="1">
      <alignment horizontal="right"/>
    </xf>
    <xf numFmtId="0" fontId="0" fillId="0" borderId="0" xfId="0" applyFill="1" applyBorder="1" applyAlignment="1">
      <alignment horizontal="right"/>
    </xf>
    <xf numFmtId="0" fontId="0" fillId="0" borderId="0" xfId="0" applyFill="1" applyAlignment="1">
      <alignment horizontal="left" vertical="top" wrapText="1"/>
    </xf>
    <xf numFmtId="169" fontId="0" fillId="0" borderId="0" xfId="2" applyNumberFormat="1" applyFont="1" applyFill="1" applyAlignment="1">
      <alignment horizontal="right"/>
    </xf>
    <xf numFmtId="0" fontId="10" fillId="0" borderId="0" xfId="0" applyFont="1" applyFill="1" applyBorder="1" applyAlignment="1">
      <alignment vertical="top"/>
    </xf>
    <xf numFmtId="0" fontId="3" fillId="0" borderId="0" xfId="0" applyFont="1" applyFill="1" applyAlignment="1">
      <alignment horizontal="left"/>
    </xf>
    <xf numFmtId="3" fontId="4" fillId="0" borderId="0" xfId="0" applyNumberFormat="1" applyFont="1" applyFill="1"/>
    <xf numFmtId="3" fontId="0" fillId="0" borderId="0" xfId="0" applyNumberFormat="1" applyFill="1" applyBorder="1" applyAlignment="1">
      <alignment horizontal="center"/>
    </xf>
    <xf numFmtId="169" fontId="0" fillId="0" borderId="0" xfId="2" applyNumberFormat="1" applyFont="1" applyFill="1" applyBorder="1" applyAlignment="1">
      <alignment horizontal="right"/>
    </xf>
    <xf numFmtId="0" fontId="2" fillId="0" borderId="0" xfId="0" applyFont="1" applyAlignment="1">
      <alignment vertical="top"/>
    </xf>
    <xf numFmtId="0" fontId="8" fillId="0" borderId="0" xfId="0" applyFont="1" applyFill="1" applyAlignment="1">
      <alignment vertical="top"/>
    </xf>
    <xf numFmtId="3" fontId="2" fillId="0" borderId="0" xfId="0" applyNumberFormat="1" applyFont="1" applyFill="1" applyBorder="1"/>
    <xf numFmtId="0" fontId="2" fillId="0" borderId="0" xfId="0" applyFont="1" applyFill="1" applyAlignment="1">
      <alignment horizontal="left" vertical="top" wrapText="1"/>
    </xf>
    <xf numFmtId="0" fontId="2" fillId="0" borderId="0" xfId="0" applyFont="1" applyFill="1" applyAlignment="1">
      <alignment horizontal="left" indent="1"/>
    </xf>
    <xf numFmtId="0" fontId="4" fillId="0" borderId="0" xfId="0" applyFont="1" applyAlignment="1">
      <alignment horizontal="center"/>
    </xf>
    <xf numFmtId="0" fontId="4" fillId="0" borderId="0" xfId="0" applyFont="1" applyBorder="1"/>
    <xf numFmtId="0" fontId="0" fillId="0" borderId="0" xfId="0" applyFill="1" applyAlignment="1">
      <alignment horizontal="center"/>
    </xf>
    <xf numFmtId="169" fontId="0" fillId="0" borderId="0" xfId="0" applyNumberFormat="1"/>
    <xf numFmtId="3" fontId="2" fillId="0" borderId="0" xfId="0" applyNumberFormat="1" applyFont="1" applyFill="1" applyBorder="1" applyAlignment="1">
      <alignment horizontal="right"/>
    </xf>
    <xf numFmtId="0" fontId="15" fillId="0" borderId="0" xfId="0" applyFont="1" applyFill="1" applyAlignment="1">
      <alignment vertical="top"/>
    </xf>
    <xf numFmtId="169" fontId="0" fillId="0" borderId="0" xfId="0" applyNumberFormat="1" applyBorder="1"/>
    <xf numFmtId="0" fontId="11" fillId="0" borderId="0" xfId="0" applyFont="1" applyFill="1" applyBorder="1" applyAlignment="1">
      <alignment horizontal="right"/>
    </xf>
    <xf numFmtId="3" fontId="0" fillId="0" borderId="2" xfId="0" applyNumberFormat="1" applyFill="1" applyBorder="1" applyAlignment="1">
      <alignment horizontal="right"/>
    </xf>
    <xf numFmtId="0" fontId="3" fillId="0" borderId="0" xfId="0" applyFont="1" applyFill="1" applyBorder="1" applyAlignment="1">
      <alignment horizontal="center" wrapText="1"/>
    </xf>
    <xf numFmtId="0" fontId="3" fillId="0" borderId="0" xfId="0" applyFont="1" applyFill="1" applyAlignment="1">
      <alignment horizontal="left" vertical="top"/>
    </xf>
    <xf numFmtId="3" fontId="2" fillId="0" borderId="0" xfId="0" applyNumberFormat="1" applyFont="1" applyFill="1"/>
    <xf numFmtId="3" fontId="2" fillId="0" borderId="0" xfId="0" applyNumberFormat="1" applyFont="1" applyFill="1" applyBorder="1" applyAlignment="1">
      <alignment horizontal="center"/>
    </xf>
    <xf numFmtId="0" fontId="11" fillId="0" borderId="0" xfId="0" applyFont="1" applyFill="1" applyAlignment="1"/>
    <xf numFmtId="0" fontId="0" fillId="0" borderId="0" xfId="0" applyFill="1" applyAlignment="1">
      <alignment vertical="top" wrapText="1"/>
    </xf>
    <xf numFmtId="0" fontId="11" fillId="0" borderId="0" xfId="0" applyFont="1" applyFill="1" applyAlignment="1">
      <alignment horizontal="right"/>
    </xf>
    <xf numFmtId="169" fontId="0" fillId="0" borderId="0" xfId="0" applyNumberFormat="1" applyFill="1"/>
    <xf numFmtId="0" fontId="14" fillId="0" borderId="0" xfId="0" applyFont="1" applyFill="1"/>
    <xf numFmtId="3" fontId="0" fillId="0" borderId="0" xfId="0" applyNumberFormat="1" applyFill="1" applyAlignment="1">
      <alignment horizontal="right"/>
    </xf>
    <xf numFmtId="3" fontId="0" fillId="0" borderId="0" xfId="2" applyNumberFormat="1" applyFont="1" applyFill="1" applyBorder="1" applyAlignment="1">
      <alignment horizontal="right"/>
    </xf>
    <xf numFmtId="41" fontId="0" fillId="0" borderId="0" xfId="0" applyNumberFormat="1" applyFill="1"/>
    <xf numFmtId="0" fontId="0" fillId="0" borderId="0" xfId="0" applyFill="1" applyAlignment="1">
      <alignment vertical="top"/>
    </xf>
    <xf numFmtId="0" fontId="3" fillId="0" borderId="0" xfId="0" applyFont="1" applyFill="1" applyAlignment="1">
      <alignment horizontal="center" wrapText="1"/>
    </xf>
    <xf numFmtId="170" fontId="0" fillId="0" borderId="0" xfId="0" applyNumberFormat="1" applyFill="1"/>
    <xf numFmtId="170" fontId="0" fillId="0" borderId="0" xfId="0" applyNumberFormat="1" applyFill="1" applyBorder="1" applyAlignment="1">
      <alignment horizontal="right"/>
    </xf>
    <xf numFmtId="0" fontId="3" fillId="0" borderId="0" xfId="0" applyFont="1" applyFill="1" applyAlignment="1">
      <alignment vertical="top"/>
    </xf>
    <xf numFmtId="0" fontId="3" fillId="0" borderId="0" xfId="0" applyFont="1" applyFill="1" applyAlignment="1">
      <alignment horizontal="center"/>
    </xf>
    <xf numFmtId="0" fontId="19" fillId="0" borderId="0" xfId="0" applyFont="1" applyFill="1" applyBorder="1"/>
    <xf numFmtId="0" fontId="4" fillId="0" borderId="0" xfId="0" applyFont="1" applyFill="1" applyAlignment="1">
      <alignment vertical="top" wrapText="1"/>
    </xf>
    <xf numFmtId="0" fontId="18" fillId="0" borderId="0" xfId="0" applyFont="1" applyFill="1"/>
    <xf numFmtId="3" fontId="18" fillId="0" borderId="0" xfId="0" applyNumberFormat="1" applyFont="1" applyFill="1" applyBorder="1"/>
    <xf numFmtId="0" fontId="14" fillId="0" borderId="0" xfId="0" applyFont="1" applyFill="1" applyBorder="1" applyAlignment="1">
      <alignment horizontal="center"/>
    </xf>
    <xf numFmtId="0" fontId="18" fillId="0" borderId="0" xfId="0" applyFont="1" applyFill="1" applyBorder="1"/>
    <xf numFmtId="0" fontId="18" fillId="0" borderId="0" xfId="0" applyFont="1" applyFill="1" applyAlignment="1">
      <alignment horizontal="center"/>
    </xf>
    <xf numFmtId="3" fontId="4" fillId="0" borderId="0" xfId="0" applyNumberFormat="1" applyFont="1" applyFill="1" applyBorder="1"/>
    <xf numFmtId="0" fontId="3" fillId="0" borderId="0" xfId="0" applyFont="1" applyFill="1" applyAlignment="1">
      <alignment horizontal="right" wrapText="1"/>
    </xf>
    <xf numFmtId="0" fontId="4" fillId="0" borderId="0" xfId="0" applyFont="1" applyFill="1" applyBorder="1"/>
    <xf numFmtId="0" fontId="4" fillId="0" borderId="0" xfId="0" applyFont="1" applyFill="1" applyAlignment="1">
      <alignment horizontal="left" vertical="top" wrapText="1"/>
    </xf>
    <xf numFmtId="0" fontId="22" fillId="0" borderId="0" xfId="0" applyFont="1"/>
    <xf numFmtId="0" fontId="22" fillId="0" borderId="0" xfId="0" applyFont="1" applyAlignment="1">
      <alignment horizontal="center"/>
    </xf>
    <xf numFmtId="0" fontId="22" fillId="0" borderId="0" xfId="0" applyFont="1" applyAlignment="1">
      <alignment horizontal="right"/>
    </xf>
    <xf numFmtId="0" fontId="22" fillId="0" borderId="0" xfId="0" applyFont="1" applyAlignment="1">
      <alignment vertical="top"/>
    </xf>
    <xf numFmtId="0" fontId="3" fillId="0" borderId="0" xfId="0" applyFont="1" applyAlignment="1">
      <alignment horizontal="right"/>
    </xf>
    <xf numFmtId="0" fontId="3" fillId="0" borderId="0" xfId="0" applyFont="1" applyAlignment="1">
      <alignment horizontal="center"/>
    </xf>
    <xf numFmtId="0" fontId="3" fillId="0" borderId="0" xfId="0" applyFont="1" applyBorder="1"/>
    <xf numFmtId="0" fontId="23" fillId="0" borderId="0" xfId="0" applyFont="1" applyAlignment="1">
      <alignment vertical="top"/>
    </xf>
    <xf numFmtId="0" fontId="26" fillId="0" borderId="0" xfId="0" applyFont="1" applyFill="1" applyAlignment="1">
      <alignment wrapText="1"/>
    </xf>
    <xf numFmtId="0" fontId="26" fillId="0" borderId="0" xfId="0" applyFont="1" applyFill="1"/>
    <xf numFmtId="3" fontId="0" fillId="2" borderId="0" xfId="0" applyNumberFormat="1" applyFill="1" applyBorder="1"/>
    <xf numFmtId="3" fontId="0" fillId="0" borderId="3" xfId="0" applyNumberFormat="1" applyFill="1" applyBorder="1" applyAlignment="1">
      <alignment horizontal="right"/>
    </xf>
    <xf numFmtId="0" fontId="12" fillId="0" borderId="0" xfId="0" applyFont="1" applyFill="1"/>
    <xf numFmtId="0" fontId="27" fillId="0" borderId="0" xfId="0" applyFont="1"/>
    <xf numFmtId="169" fontId="2" fillId="0" borderId="0" xfId="0" applyNumberFormat="1" applyFont="1"/>
    <xf numFmtId="172" fontId="0" fillId="0" borderId="0" xfId="0" applyNumberFormat="1" applyBorder="1"/>
    <xf numFmtId="170" fontId="2" fillId="0" borderId="0" xfId="0" applyNumberFormat="1" applyFont="1"/>
    <xf numFmtId="170" fontId="0" fillId="0" borderId="0" xfId="2" applyNumberFormat="1" applyFont="1" applyFill="1" applyBorder="1" applyAlignment="1">
      <alignment horizontal="right"/>
    </xf>
    <xf numFmtId="170" fontId="0" fillId="0" borderId="0" xfId="0" applyNumberFormat="1" applyFill="1" applyAlignment="1">
      <alignment horizontal="right"/>
    </xf>
    <xf numFmtId="170" fontId="2" fillId="0" borderId="0" xfId="0" applyNumberFormat="1" applyFont="1" applyFill="1" applyAlignment="1">
      <alignment horizontal="right"/>
    </xf>
    <xf numFmtId="170" fontId="2" fillId="0" borderId="0" xfId="0" applyNumberFormat="1" applyFont="1" applyFill="1" applyAlignment="1">
      <alignment horizontal="right" vertical="top"/>
    </xf>
    <xf numFmtId="173" fontId="2" fillId="0" borderId="0" xfId="0" applyNumberFormat="1" applyFont="1" applyFill="1" applyBorder="1" applyAlignment="1">
      <alignment horizontal="right"/>
    </xf>
    <xf numFmtId="173" fontId="0" fillId="0" borderId="0" xfId="0" applyNumberFormat="1" applyFill="1" applyAlignment="1">
      <alignment horizontal="right"/>
    </xf>
    <xf numFmtId="173" fontId="0" fillId="0" borderId="0" xfId="0" applyNumberFormat="1" applyFill="1" applyBorder="1" applyAlignment="1">
      <alignment horizontal="right"/>
    </xf>
    <xf numFmtId="0" fontId="2" fillId="0" borderId="0" xfId="0" applyFont="1" applyFill="1" applyAlignment="1">
      <alignment horizontal="left" vertical="top"/>
    </xf>
    <xf numFmtId="0" fontId="29" fillId="0" borderId="0" xfId="0" applyFont="1" applyFill="1"/>
    <xf numFmtId="0" fontId="30" fillId="0" borderId="0" xfId="0" applyFont="1"/>
    <xf numFmtId="0" fontId="4" fillId="0" borderId="0" xfId="14"/>
    <xf numFmtId="0" fontId="20" fillId="0" borderId="0" xfId="14" applyFont="1" applyFill="1"/>
    <xf numFmtId="14" fontId="4" fillId="0" borderId="0" xfId="14" applyNumberFormat="1"/>
    <xf numFmtId="0" fontId="4" fillId="0" borderId="0" xfId="14" applyBorder="1"/>
    <xf numFmtId="0" fontId="4" fillId="0" borderId="0" xfId="14" applyFont="1" applyFill="1" applyBorder="1"/>
    <xf numFmtId="0" fontId="32" fillId="0" borderId="0" xfId="14" applyFont="1" applyFill="1" applyBorder="1"/>
    <xf numFmtId="0" fontId="33" fillId="0" borderId="0" xfId="14" applyFont="1" applyBorder="1" applyAlignment="1"/>
    <xf numFmtId="0" fontId="4" fillId="0" borderId="0" xfId="14" applyFont="1" applyBorder="1" applyAlignment="1"/>
    <xf numFmtId="0" fontId="3" fillId="0" borderId="0" xfId="14" applyFont="1" applyBorder="1" applyAlignment="1"/>
    <xf numFmtId="0" fontId="31" fillId="0" borderId="0" xfId="14" applyFont="1" applyBorder="1" applyAlignment="1"/>
    <xf numFmtId="0" fontId="31" fillId="0" borderId="0" xfId="14" applyFont="1" applyFill="1" applyBorder="1" applyAlignment="1">
      <alignment vertical="top" wrapText="1"/>
    </xf>
    <xf numFmtId="0" fontId="4" fillId="0" borderId="0" xfId="14" applyFont="1" applyFill="1" applyBorder="1" applyAlignment="1">
      <alignment horizontal="left" vertical="top"/>
    </xf>
    <xf numFmtId="15" fontId="34" fillId="0" borderId="0" xfId="14" applyNumberFormat="1" applyFont="1" applyFill="1" applyBorder="1"/>
    <xf numFmtId="0" fontId="31" fillId="0" borderId="0" xfId="14" applyFont="1" applyFill="1" applyBorder="1" applyAlignment="1">
      <alignment horizontal="center"/>
    </xf>
    <xf numFmtId="0" fontId="4" fillId="0" borderId="0" xfId="14" applyFont="1" applyFill="1" applyBorder="1" applyAlignment="1">
      <alignment horizontal="left"/>
    </xf>
    <xf numFmtId="0" fontId="35" fillId="0" borderId="0" xfId="14" applyFont="1" applyFill="1" applyBorder="1" applyAlignment="1">
      <alignment horizontal="center"/>
    </xf>
    <xf numFmtId="0" fontId="31" fillId="0" borderId="0" xfId="14" applyFont="1" applyFill="1" applyBorder="1" applyAlignment="1"/>
    <xf numFmtId="0" fontId="4" fillId="0" borderId="0" xfId="14" applyFont="1" applyFill="1" applyBorder="1" applyAlignment="1"/>
    <xf numFmtId="0" fontId="35" fillId="0" borderId="0" xfId="14" applyFont="1" applyFill="1" applyBorder="1" applyAlignment="1"/>
    <xf numFmtId="0" fontId="34" fillId="0" borderId="0" xfId="14" applyFont="1" applyFill="1" applyBorder="1"/>
    <xf numFmtId="0" fontId="38" fillId="0" borderId="0" xfId="14" applyFont="1" applyFill="1" applyBorder="1"/>
    <xf numFmtId="0" fontId="37" fillId="0" borderId="0" xfId="14" applyFont="1" applyFill="1" applyBorder="1"/>
    <xf numFmtId="0" fontId="24" fillId="3" borderId="0" xfId="0" applyFont="1" applyFill="1" applyBorder="1" applyAlignment="1">
      <alignment horizontal="right"/>
    </xf>
    <xf numFmtId="0" fontId="4" fillId="3" borderId="0" xfId="0" applyFont="1" applyFill="1" applyAlignment="1"/>
    <xf numFmtId="0" fontId="4" fillId="3" borderId="0" xfId="0" applyFont="1" applyFill="1"/>
    <xf numFmtId="0" fontId="4" fillId="3" borderId="0" xfId="0" applyFont="1" applyFill="1" applyAlignment="1">
      <alignment horizontal="right"/>
    </xf>
    <xf numFmtId="0" fontId="0" fillId="3" borderId="0" xfId="0" applyFill="1"/>
    <xf numFmtId="0" fontId="25" fillId="3" borderId="0" xfId="0" applyFont="1" applyFill="1" applyAlignment="1">
      <alignment horizontal="right"/>
    </xf>
    <xf numFmtId="0" fontId="21" fillId="0" borderId="0" xfId="14" applyFont="1"/>
    <xf numFmtId="0" fontId="41" fillId="0" borderId="0" xfId="16" applyFont="1" applyAlignment="1">
      <alignment wrapText="1"/>
    </xf>
    <xf numFmtId="0" fontId="4" fillId="0" borderId="0" xfId="14" applyAlignment="1">
      <alignment wrapText="1"/>
    </xf>
    <xf numFmtId="0" fontId="44" fillId="0" borderId="0" xfId="16" applyFont="1"/>
    <xf numFmtId="0" fontId="20" fillId="0" borderId="0" xfId="16" applyFont="1"/>
    <xf numFmtId="0" fontId="45" fillId="0" borderId="0" xfId="16" applyFont="1"/>
    <xf numFmtId="0" fontId="10" fillId="0" borderId="0" xfId="16" applyFont="1"/>
    <xf numFmtId="0" fontId="21" fillId="0" borderId="0" xfId="14" applyFont="1" applyAlignment="1">
      <alignment wrapText="1"/>
    </xf>
    <xf numFmtId="0" fontId="42" fillId="0" borderId="0" xfId="16" applyFont="1" applyAlignment="1"/>
    <xf numFmtId="0" fontId="42" fillId="0" borderId="0" xfId="16" applyFont="1" applyAlignment="1">
      <alignment horizontal="left"/>
    </xf>
    <xf numFmtId="0" fontId="44" fillId="0" borderId="0" xfId="16" applyFont="1" applyAlignment="1">
      <alignment horizontal="left"/>
    </xf>
    <xf numFmtId="0" fontId="46" fillId="0" borderId="0" xfId="16" applyFont="1"/>
    <xf numFmtId="0" fontId="47" fillId="0" borderId="0" xfId="16" applyFont="1"/>
    <xf numFmtId="0" fontId="48" fillId="0" borderId="0" xfId="16" applyFont="1" applyAlignment="1">
      <alignment horizontal="left"/>
    </xf>
    <xf numFmtId="0" fontId="49" fillId="0" borderId="0" xfId="16" applyFont="1" applyAlignment="1">
      <alignment horizontal="left"/>
    </xf>
    <xf numFmtId="0" fontId="41" fillId="0" borderId="0" xfId="16" applyFont="1"/>
    <xf numFmtId="0" fontId="50" fillId="0" borderId="0" xfId="16" applyFont="1"/>
    <xf numFmtId="0" fontId="51" fillId="0" borderId="0" xfId="16" applyFont="1"/>
    <xf numFmtId="0" fontId="52" fillId="0" borderId="0" xfId="16" applyFont="1"/>
    <xf numFmtId="0" fontId="41" fillId="0" borderId="0" xfId="16" applyFont="1" applyAlignment="1"/>
    <xf numFmtId="0" fontId="53" fillId="0" borderId="0" xfId="16" applyFont="1" applyFill="1" applyAlignment="1"/>
    <xf numFmtId="0" fontId="43" fillId="0" borderId="0" xfId="16" applyFont="1" applyFill="1" applyAlignment="1"/>
    <xf numFmtId="0" fontId="21" fillId="0" borderId="0" xfId="16" applyFont="1"/>
    <xf numFmtId="0" fontId="55" fillId="0" borderId="0" xfId="16" applyFont="1"/>
    <xf numFmtId="0" fontId="56" fillId="0" borderId="0" xfId="16" applyFont="1"/>
    <xf numFmtId="0" fontId="57" fillId="0" borderId="0" xfId="16" applyFont="1" applyAlignment="1">
      <alignment wrapText="1"/>
    </xf>
    <xf numFmtId="0" fontId="58" fillId="0" borderId="0" xfId="16" applyFont="1"/>
    <xf numFmtId="0" fontId="57" fillId="0" borderId="0" xfId="16" applyFont="1"/>
    <xf numFmtId="0" fontId="40" fillId="0" borderId="0" xfId="16" applyFont="1"/>
    <xf numFmtId="0" fontId="78" fillId="0" borderId="0" xfId="16"/>
    <xf numFmtId="0" fontId="59" fillId="0" borderId="0" xfId="16" applyFont="1"/>
    <xf numFmtId="0" fontId="60" fillId="0" borderId="0" xfId="16" applyFont="1"/>
    <xf numFmtId="166" fontId="4" fillId="0" borderId="0" xfId="0" applyNumberFormat="1" applyFont="1" applyFill="1" applyBorder="1" applyAlignment="1">
      <alignment horizontal="right"/>
    </xf>
    <xf numFmtId="3" fontId="4" fillId="0" borderId="4" xfId="0" applyNumberFormat="1" applyFont="1" applyFill="1" applyBorder="1" applyAlignment="1">
      <alignment horizontal="right"/>
    </xf>
    <xf numFmtId="3" fontId="4" fillId="0" borderId="0" xfId="0" applyNumberFormat="1" applyFont="1" applyFill="1" applyBorder="1" applyAlignment="1">
      <alignment horizontal="right"/>
    </xf>
    <xf numFmtId="173" fontId="4" fillId="0" borderId="0" xfId="0" applyNumberFormat="1" applyFont="1" applyFill="1" applyBorder="1" applyAlignment="1">
      <alignment horizontal="right"/>
    </xf>
    <xf numFmtId="41" fontId="21" fillId="0" borderId="0" xfId="3" applyNumberFormat="1" applyFont="1" applyFill="1" applyProtection="1"/>
    <xf numFmtId="41" fontId="21" fillId="0" borderId="2" xfId="3" applyNumberFormat="1" applyFont="1" applyFill="1" applyBorder="1" applyProtection="1"/>
    <xf numFmtId="3" fontId="2" fillId="0" borderId="0" xfId="0" applyNumberFormat="1" applyFont="1" applyBorder="1"/>
    <xf numFmtId="166" fontId="21" fillId="0" borderId="0" xfId="18" applyNumberFormat="1" applyFont="1"/>
    <xf numFmtId="166" fontId="0" fillId="0" borderId="0" xfId="0" applyNumberFormat="1"/>
    <xf numFmtId="3" fontId="0" fillId="4" borderId="0" xfId="0" applyNumberFormat="1" applyFill="1"/>
    <xf numFmtId="0" fontId="36" fillId="0" borderId="0" xfId="14" applyFont="1" applyFill="1" applyBorder="1" applyAlignment="1">
      <alignment horizontal="center"/>
    </xf>
    <xf numFmtId="0" fontId="50" fillId="0" borderId="0" xfId="16" applyFont="1" applyAlignment="1">
      <alignment wrapText="1"/>
    </xf>
    <xf numFmtId="0" fontId="57" fillId="0" borderId="0" xfId="16" applyFont="1" applyAlignment="1"/>
    <xf numFmtId="0" fontId="54" fillId="0" borderId="0" xfId="16" applyFont="1" applyAlignment="1">
      <alignment wrapText="1"/>
    </xf>
    <xf numFmtId="0" fontId="3" fillId="0" borderId="0" xfId="14" applyFont="1" applyFill="1" applyBorder="1" applyAlignment="1"/>
    <xf numFmtId="0" fontId="2" fillId="0" borderId="0" xfId="0" applyFont="1" applyFill="1" applyAlignment="1">
      <alignment horizontal="left"/>
    </xf>
    <xf numFmtId="0" fontId="10" fillId="0" borderId="0" xfId="0" applyFont="1" applyFill="1" applyBorder="1" applyAlignment="1">
      <alignment horizontal="right" vertical="top"/>
    </xf>
    <xf numFmtId="0" fontId="3" fillId="0" borderId="0" xfId="0" applyFont="1" applyFill="1" applyBorder="1" applyAlignment="1">
      <alignment horizontal="right"/>
    </xf>
    <xf numFmtId="0" fontId="8" fillId="0" borderId="0" xfId="0" applyFont="1" applyFill="1" applyBorder="1" applyAlignment="1">
      <alignment horizontal="right" wrapText="1"/>
    </xf>
    <xf numFmtId="3" fontId="4" fillId="0" borderId="3" xfId="0" applyNumberFormat="1" applyFont="1" applyFill="1" applyBorder="1" applyAlignment="1">
      <alignment horizontal="right"/>
    </xf>
    <xf numFmtId="0" fontId="2" fillId="0" borderId="0" xfId="0" applyFont="1" applyFill="1" applyAlignment="1">
      <alignment horizontal="right"/>
    </xf>
    <xf numFmtId="3" fontId="10" fillId="0" borderId="0" xfId="0" applyNumberFormat="1" applyFont="1" applyFill="1" applyAlignment="1">
      <alignment horizontal="right" vertical="top"/>
    </xf>
    <xf numFmtId="0" fontId="8" fillId="0" borderId="0" xfId="0" applyFont="1" applyFill="1" applyAlignment="1">
      <alignment horizontal="right" wrapText="1"/>
    </xf>
    <xf numFmtId="0" fontId="0" fillId="0" borderId="0" xfId="0" applyFill="1" applyAlignment="1">
      <alignment horizontal="right"/>
    </xf>
    <xf numFmtId="0" fontId="3" fillId="0" borderId="0" xfId="0" applyFont="1" applyFill="1" applyBorder="1" applyAlignment="1">
      <alignment horizontal="right" wrapText="1"/>
    </xf>
    <xf numFmtId="0" fontId="10" fillId="0" borderId="0" xfId="0" applyFont="1" applyFill="1" applyAlignment="1">
      <alignment horizontal="right" vertical="top"/>
    </xf>
    <xf numFmtId="0" fontId="0" fillId="0" borderId="0" xfId="0" applyFill="1" applyAlignment="1">
      <alignment horizontal="right" wrapText="1"/>
    </xf>
    <xf numFmtId="0" fontId="0" fillId="0" borderId="0" xfId="0" applyFill="1" applyAlignment="1">
      <alignment horizontal="right" vertical="top"/>
    </xf>
    <xf numFmtId="0" fontId="14" fillId="0" borderId="0" xfId="0" applyFont="1" applyFill="1" applyBorder="1" applyAlignment="1">
      <alignment horizontal="right"/>
    </xf>
    <xf numFmtId="0" fontId="4" fillId="0" borderId="0" xfId="0" applyFont="1" applyFill="1" applyAlignment="1">
      <alignment horizontal="right"/>
    </xf>
    <xf numFmtId="0" fontId="0" fillId="0" borderId="0" xfId="0" applyFill="1" applyAlignment="1">
      <alignment horizontal="right" vertical="top" wrapText="1"/>
    </xf>
    <xf numFmtId="0" fontId="26" fillId="0" borderId="0" xfId="0" applyFont="1" applyFill="1" applyAlignment="1">
      <alignment horizontal="right" wrapText="1"/>
    </xf>
    <xf numFmtId="0" fontId="4" fillId="0" borderId="0" xfId="0" applyFont="1" applyFill="1" applyAlignment="1">
      <alignment horizontal="right" vertical="top" wrapText="1"/>
    </xf>
    <xf numFmtId="173" fontId="14" fillId="0" borderId="0" xfId="0" applyNumberFormat="1" applyFont="1" applyFill="1" applyBorder="1" applyAlignment="1">
      <alignment horizontal="right"/>
    </xf>
    <xf numFmtId="3" fontId="18" fillId="0" borderId="0" xfId="0" applyNumberFormat="1" applyFont="1" applyFill="1" applyBorder="1" applyAlignment="1">
      <alignment horizontal="right"/>
    </xf>
    <xf numFmtId="0" fontId="8" fillId="0" borderId="0" xfId="0" quotePrefix="1" applyFont="1" applyFill="1" applyAlignment="1">
      <alignment horizontal="right" wrapText="1"/>
    </xf>
    <xf numFmtId="0" fontId="18" fillId="0" borderId="0" xfId="0" applyFont="1" applyFill="1" applyAlignment="1">
      <alignment horizontal="right"/>
    </xf>
    <xf numFmtId="0" fontId="2" fillId="0" borderId="0" xfId="0" applyFont="1" applyFill="1" applyAlignment="1">
      <alignment horizontal="right" vertical="top" wrapText="1"/>
    </xf>
    <xf numFmtId="170" fontId="4" fillId="0" borderId="0" xfId="0" applyNumberFormat="1" applyFont="1" applyFill="1" applyAlignment="1">
      <alignment horizontal="right" wrapText="1"/>
    </xf>
    <xf numFmtId="170" fontId="4" fillId="0" borderId="2" xfId="0" applyNumberFormat="1" applyFont="1" applyFill="1" applyBorder="1" applyAlignment="1">
      <alignment horizontal="right" wrapText="1"/>
    </xf>
    <xf numFmtId="0" fontId="4" fillId="0" borderId="0" xfId="0" applyFont="1" applyFill="1" applyBorder="1" applyAlignment="1">
      <alignment horizontal="right"/>
    </xf>
    <xf numFmtId="0" fontId="2" fillId="0" borderId="0" xfId="0" applyFont="1" applyFill="1" applyBorder="1" applyAlignment="1">
      <alignment horizontal="right"/>
    </xf>
    <xf numFmtId="0" fontId="8" fillId="0" borderId="0" xfId="0" quotePrefix="1" applyFont="1" applyFill="1" applyBorder="1" applyAlignment="1">
      <alignment horizontal="right" wrapText="1"/>
    </xf>
    <xf numFmtId="0" fontId="18" fillId="0" borderId="0" xfId="0" applyFont="1" applyFill="1" applyBorder="1" applyAlignment="1">
      <alignment horizontal="right"/>
    </xf>
    <xf numFmtId="0" fontId="4" fillId="0" borderId="0" xfId="0" applyFont="1" applyFill="1" applyBorder="1" applyAlignment="1">
      <alignment horizontal="right" vertical="top" wrapText="1"/>
    </xf>
    <xf numFmtId="0" fontId="8" fillId="0" borderId="0" xfId="0" applyFont="1" applyFill="1" applyBorder="1" applyAlignment="1">
      <alignment horizontal="right" vertical="top"/>
    </xf>
    <xf numFmtId="0" fontId="2" fillId="0" borderId="0" xfId="0" applyFont="1" applyFill="1" applyBorder="1" applyAlignment="1">
      <alignment horizontal="right" vertical="top" wrapText="1"/>
    </xf>
    <xf numFmtId="0" fontId="0" fillId="0" borderId="0" xfId="0" applyFill="1" applyBorder="1" applyAlignment="1">
      <alignment horizontal="right" vertical="top" wrapText="1"/>
    </xf>
    <xf numFmtId="170" fontId="2" fillId="0" borderId="0" xfId="0" applyNumberFormat="1" applyFont="1" applyFill="1" applyBorder="1" applyAlignment="1">
      <alignment horizontal="right"/>
    </xf>
    <xf numFmtId="0" fontId="19" fillId="0" borderId="0" xfId="0" applyFont="1" applyFill="1" applyBorder="1" applyAlignment="1">
      <alignment horizontal="right"/>
    </xf>
    <xf numFmtId="0" fontId="15" fillId="0" borderId="0" xfId="0" applyFont="1" applyFill="1" applyBorder="1" applyAlignment="1">
      <alignment horizontal="right" vertical="top"/>
    </xf>
    <xf numFmtId="0" fontId="4" fillId="0" borderId="0" xfId="0" applyFont="1" applyFill="1" applyAlignment="1">
      <alignment horizontal="right" vertical="top"/>
    </xf>
    <xf numFmtId="0" fontId="3" fillId="0" borderId="0" xfId="0" applyFont="1" applyFill="1" applyBorder="1" applyAlignment="1">
      <alignment horizontal="right" vertical="top"/>
    </xf>
    <xf numFmtId="0" fontId="4" fillId="0" borderId="0" xfId="0"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0" fontId="8" fillId="0" borderId="0" xfId="0" applyFont="1" applyFill="1" applyAlignment="1">
      <alignment horizontal="left" vertical="top"/>
    </xf>
    <xf numFmtId="0" fontId="14" fillId="0" borderId="0" xfId="0" applyFont="1" applyFill="1" applyAlignment="1">
      <alignment horizontal="left"/>
    </xf>
    <xf numFmtId="0" fontId="10" fillId="0" borderId="0" xfId="0" applyFont="1" applyFill="1" applyAlignment="1">
      <alignment horizontal="left" vertical="top"/>
    </xf>
    <xf numFmtId="0" fontId="4" fillId="0" borderId="0" xfId="0" applyFont="1" applyFill="1" applyAlignment="1">
      <alignment horizontal="left" vertical="top"/>
    </xf>
    <xf numFmtId="0" fontId="5" fillId="0" borderId="0" xfId="0" applyFont="1" applyFill="1" applyAlignment="1">
      <alignment horizontal="left"/>
    </xf>
    <xf numFmtId="0" fontId="12" fillId="0" borderId="0" xfId="0" applyFont="1" applyFill="1" applyAlignment="1">
      <alignment horizontal="left" vertical="top"/>
    </xf>
    <xf numFmtId="0" fontId="10" fillId="0" borderId="0" xfId="0" applyFont="1" applyFill="1" applyAlignment="1">
      <alignment horizontal="left"/>
    </xf>
    <xf numFmtId="0" fontId="12" fillId="0" borderId="0" xfId="0" applyFont="1" applyFill="1" applyAlignment="1">
      <alignment horizontal="left"/>
    </xf>
    <xf numFmtId="0" fontId="17" fillId="0" borderId="0" xfId="0" applyFont="1" applyFill="1" applyAlignment="1">
      <alignment horizontal="left" vertical="top"/>
    </xf>
    <xf numFmtId="0" fontId="17" fillId="0" borderId="0" xfId="0" applyFont="1" applyFill="1" applyAlignment="1">
      <alignment horizontal="left"/>
    </xf>
    <xf numFmtId="0" fontId="18" fillId="0" borderId="0" xfId="0" applyFont="1" applyFill="1" applyAlignment="1">
      <alignment horizontal="left"/>
    </xf>
    <xf numFmtId="165" fontId="14" fillId="0" borderId="0" xfId="0" applyNumberFormat="1" applyFont="1" applyFill="1" applyAlignment="1">
      <alignment horizontal="left"/>
    </xf>
    <xf numFmtId="0" fontId="10" fillId="0" borderId="0" xfId="0" applyNumberFormat="1" applyFont="1" applyFill="1" applyAlignment="1">
      <alignment horizontal="left" vertical="top"/>
    </xf>
    <xf numFmtId="0" fontId="2" fillId="0" borderId="0" xfId="0" applyNumberFormat="1" applyFont="1" applyFill="1" applyAlignment="1">
      <alignment horizontal="left"/>
    </xf>
    <xf numFmtId="0" fontId="4" fillId="0" borderId="0" xfId="0" applyNumberFormat="1" applyFont="1" applyFill="1" applyAlignment="1">
      <alignment horizontal="left"/>
    </xf>
    <xf numFmtId="0" fontId="0" fillId="0" borderId="0" xfId="0" applyNumberFormat="1" applyFill="1" applyAlignment="1">
      <alignment horizontal="left"/>
    </xf>
    <xf numFmtId="0" fontId="0" fillId="0" borderId="0" xfId="0" applyNumberFormat="1" applyFont="1" applyFill="1" applyAlignment="1">
      <alignment horizontal="left"/>
    </xf>
    <xf numFmtId="0" fontId="0" fillId="0" borderId="0" xfId="0" applyNumberFormat="1" applyAlignment="1">
      <alignment horizontal="left"/>
    </xf>
    <xf numFmtId="0" fontId="8" fillId="0" borderId="0" xfId="0" applyNumberFormat="1" applyFont="1" applyFill="1" applyAlignment="1">
      <alignment horizontal="left" vertical="top"/>
    </xf>
    <xf numFmtId="0" fontId="14" fillId="0" borderId="0" xfId="0" applyNumberFormat="1" applyFont="1" applyFill="1" applyAlignment="1">
      <alignment horizontal="left"/>
    </xf>
    <xf numFmtId="0" fontId="27" fillId="0" borderId="0" xfId="0" applyNumberFormat="1" applyFont="1" applyAlignment="1">
      <alignment horizontal="left"/>
    </xf>
    <xf numFmtId="0" fontId="45" fillId="0" borderId="0" xfId="16" applyFont="1" applyAlignment="1">
      <alignment horizontal="left"/>
    </xf>
    <xf numFmtId="0" fontId="2" fillId="2" borderId="0" xfId="14" quotePrefix="1" applyFont="1" applyFill="1"/>
    <xf numFmtId="0" fontId="64" fillId="0" borderId="0" xfId="0" applyFont="1" applyFill="1"/>
    <xf numFmtId="0" fontId="0" fillId="5" borderId="0" xfId="0" applyFill="1" applyAlignment="1">
      <alignment vertical="top" wrapText="1"/>
    </xf>
    <xf numFmtId="41" fontId="2" fillId="0" borderId="0" xfId="2" applyNumberFormat="1" applyFont="1" applyFill="1" applyAlignment="1">
      <alignment horizontal="right"/>
    </xf>
    <xf numFmtId="41" fontId="2" fillId="0" borderId="0" xfId="2" applyNumberFormat="1" applyFont="1" applyFill="1" applyBorder="1" applyAlignment="1">
      <alignment horizontal="right"/>
    </xf>
    <xf numFmtId="0" fontId="21" fillId="0" borderId="0" xfId="0" applyFont="1" applyFill="1"/>
    <xf numFmtId="3" fontId="2" fillId="0" borderId="0" xfId="0" applyNumberFormat="1" applyFont="1"/>
    <xf numFmtId="168" fontId="0" fillId="0" borderId="0" xfId="0" applyNumberFormat="1"/>
    <xf numFmtId="41" fontId="21" fillId="0" borderId="5" xfId="3" applyNumberFormat="1" applyFont="1" applyFill="1" applyBorder="1" applyProtection="1"/>
    <xf numFmtId="0" fontId="5" fillId="3" borderId="0" xfId="0" applyFont="1" applyFill="1" applyAlignment="1">
      <alignment horizontal="left" vertical="top" wrapText="1"/>
    </xf>
    <xf numFmtId="166" fontId="0" fillId="0" borderId="0" xfId="0" applyNumberFormat="1" applyFill="1" applyBorder="1" applyAlignment="1">
      <alignment horizontal="right"/>
    </xf>
    <xf numFmtId="0" fontId="4" fillId="0" borderId="0" xfId="17" applyFill="1" applyAlignment="1">
      <alignment vertical="top" wrapText="1"/>
    </xf>
    <xf numFmtId="170" fontId="0" fillId="0" borderId="0" xfId="0" applyNumberFormat="1" applyBorder="1"/>
    <xf numFmtId="168" fontId="0" fillId="0" borderId="0" xfId="0" applyNumberFormat="1" applyBorder="1"/>
    <xf numFmtId="170" fontId="21" fillId="0" borderId="0" xfId="2" applyNumberFormat="1" applyFont="1" applyFill="1" applyAlignment="1">
      <alignment horizontal="right"/>
    </xf>
    <xf numFmtId="170" fontId="21" fillId="0" borderId="2" xfId="2" applyNumberFormat="1" applyFont="1" applyFill="1" applyBorder="1" applyAlignment="1">
      <alignment horizontal="right"/>
    </xf>
    <xf numFmtId="170" fontId="21" fillId="0" borderId="0" xfId="2" applyNumberFormat="1" applyFont="1" applyBorder="1" applyAlignment="1">
      <alignment horizontal="right"/>
    </xf>
    <xf numFmtId="170" fontId="21" fillId="0" borderId="0" xfId="2" applyNumberFormat="1" applyFont="1" applyFill="1" applyBorder="1" applyAlignment="1">
      <alignment horizontal="right"/>
    </xf>
    <xf numFmtId="170" fontId="21" fillId="0" borderId="3" xfId="2" applyNumberFormat="1" applyFont="1" applyFill="1" applyBorder="1" applyAlignment="1">
      <alignment horizontal="right"/>
    </xf>
    <xf numFmtId="170" fontId="21" fillId="0" borderId="3" xfId="2" applyNumberFormat="1" applyFont="1" applyBorder="1" applyAlignment="1">
      <alignment horizontal="right"/>
    </xf>
    <xf numFmtId="173" fontId="21" fillId="0" borderId="0" xfId="2" applyNumberFormat="1" applyFont="1" applyBorder="1" applyAlignment="1">
      <alignment horizontal="center"/>
    </xf>
    <xf numFmtId="173" fontId="21" fillId="0" borderId="0" xfId="2" applyNumberFormat="1" applyFont="1" applyBorder="1" applyAlignment="1">
      <alignment horizontal="right"/>
    </xf>
    <xf numFmtId="173" fontId="21" fillId="0" borderId="0" xfId="0" applyNumberFormat="1" applyFont="1" applyAlignment="1">
      <alignment horizontal="center"/>
    </xf>
    <xf numFmtId="173" fontId="21" fillId="0" borderId="0" xfId="0" applyNumberFormat="1" applyFont="1" applyAlignment="1">
      <alignment horizontal="right"/>
    </xf>
    <xf numFmtId="173" fontId="21" fillId="0" borderId="4" xfId="0" applyNumberFormat="1" applyFont="1" applyBorder="1" applyAlignment="1">
      <alignment horizontal="center"/>
    </xf>
    <xf numFmtId="166" fontId="21" fillId="0" borderId="0" xfId="2" applyNumberFormat="1" applyFont="1" applyBorder="1" applyAlignment="1">
      <alignment horizontal="right"/>
    </xf>
    <xf numFmtId="0" fontId="21" fillId="0" borderId="0" xfId="0" applyFont="1" applyBorder="1" applyAlignment="1">
      <alignment horizontal="right"/>
    </xf>
    <xf numFmtId="170" fontId="21" fillId="0" borderId="0" xfId="0" applyNumberFormat="1" applyFont="1" applyFill="1" applyAlignment="1">
      <alignment horizontal="right"/>
    </xf>
    <xf numFmtId="170" fontId="21" fillId="0" borderId="0" xfId="0" applyNumberFormat="1" applyFont="1" applyBorder="1" applyAlignment="1">
      <alignment horizontal="right"/>
    </xf>
    <xf numFmtId="170" fontId="21" fillId="0" borderId="2" xfId="2" applyNumberFormat="1" applyFont="1" applyBorder="1" applyAlignment="1">
      <alignment horizontal="right"/>
    </xf>
    <xf numFmtId="170" fontId="21" fillId="0" borderId="5" xfId="2" applyNumberFormat="1" applyFont="1" applyBorder="1" applyAlignment="1">
      <alignment horizontal="right"/>
    </xf>
    <xf numFmtId="0" fontId="21" fillId="0" borderId="0" xfId="0" applyFont="1" applyAlignment="1">
      <alignment horizontal="right"/>
    </xf>
    <xf numFmtId="0" fontId="21" fillId="0" borderId="0" xfId="0" applyFont="1" applyFill="1" applyBorder="1" applyAlignment="1">
      <alignment horizontal="right"/>
    </xf>
    <xf numFmtId="166" fontId="2" fillId="0" borderId="0" xfId="0" applyNumberFormat="1" applyFont="1" applyBorder="1"/>
    <xf numFmtId="166" fontId="0" fillId="0" borderId="0" xfId="0" applyNumberFormat="1" applyBorder="1"/>
    <xf numFmtId="41" fontId="0" fillId="5" borderId="0" xfId="0" applyNumberFormat="1" applyFill="1" applyAlignment="1">
      <alignment vertical="top" wrapText="1"/>
    </xf>
    <xf numFmtId="41" fontId="21" fillId="0" borderId="0" xfId="3" applyNumberFormat="1" applyFont="1" applyFill="1" applyBorder="1" applyProtection="1"/>
    <xf numFmtId="173" fontId="0" fillId="0" borderId="0" xfId="0" applyNumberFormat="1"/>
    <xf numFmtId="41" fontId="0" fillId="0" borderId="0" xfId="0" applyNumberFormat="1" applyFill="1" applyBorder="1" applyAlignment="1">
      <alignment horizontal="right"/>
    </xf>
    <xf numFmtId="174" fontId="0" fillId="0" borderId="0" xfId="0" applyNumberFormat="1" applyFill="1"/>
    <xf numFmtId="4" fontId="0" fillId="0" borderId="0" xfId="0" applyNumberFormat="1" applyFill="1" applyAlignment="1">
      <alignment horizontal="right"/>
    </xf>
    <xf numFmtId="0" fontId="2" fillId="0" borderId="0" xfId="0" applyFont="1" applyFill="1" applyAlignment="1">
      <alignment horizontal="left" wrapText="1"/>
    </xf>
    <xf numFmtId="0" fontId="4" fillId="0" borderId="0" xfId="14" applyAlignment="1">
      <alignment horizontal="right"/>
    </xf>
    <xf numFmtId="0" fontId="6" fillId="0" borderId="0" xfId="0" applyFont="1"/>
    <xf numFmtId="173" fontId="21" fillId="0" borderId="0" xfId="2" applyNumberFormat="1" applyFont="1" applyFill="1" applyBorder="1" applyAlignment="1">
      <alignment horizontal="right"/>
    </xf>
    <xf numFmtId="173" fontId="21" fillId="0" borderId="0" xfId="0" applyNumberFormat="1" applyFont="1" applyFill="1" applyAlignment="1">
      <alignment horizontal="right"/>
    </xf>
    <xf numFmtId="173" fontId="21" fillId="0" borderId="4" xfId="0" applyNumberFormat="1" applyFont="1" applyFill="1" applyBorder="1" applyAlignment="1">
      <alignment horizontal="center"/>
    </xf>
    <xf numFmtId="0" fontId="21" fillId="0" borderId="0" xfId="0" applyFont="1" applyAlignment="1">
      <alignment vertical="top"/>
    </xf>
    <xf numFmtId="0" fontId="21" fillId="0" borderId="0" xfId="0" applyFont="1"/>
    <xf numFmtId="0" fontId="20" fillId="0" borderId="0" xfId="0" applyFont="1" applyAlignment="1">
      <alignment horizontal="center"/>
    </xf>
    <xf numFmtId="0" fontId="20" fillId="0" borderId="0" xfId="0" applyFont="1" applyFill="1" applyBorder="1" applyAlignment="1">
      <alignment horizontal="center"/>
    </xf>
    <xf numFmtId="0" fontId="20" fillId="0" borderId="0" xfId="0" applyFont="1" applyAlignment="1">
      <alignment horizontal="center" wrapText="1"/>
    </xf>
    <xf numFmtId="0" fontId="20" fillId="0" borderId="0" xfId="0" applyFont="1" applyFill="1" applyAlignment="1">
      <alignment horizontal="center" wrapText="1"/>
    </xf>
    <xf numFmtId="0" fontId="20" fillId="0" borderId="0" xfId="0" applyFont="1" applyBorder="1" applyAlignment="1">
      <alignment horizontal="center" wrapText="1"/>
    </xf>
    <xf numFmtId="0" fontId="20" fillId="0" borderId="0" xfId="0" applyFont="1" applyFill="1" applyBorder="1" applyAlignment="1">
      <alignment horizontal="center" wrapText="1"/>
    </xf>
    <xf numFmtId="0" fontId="20" fillId="0" borderId="0" xfId="0" applyFont="1" applyFill="1"/>
    <xf numFmtId="3" fontId="21" fillId="0" borderId="4" xfId="0" applyNumberFormat="1" applyFont="1" applyFill="1" applyBorder="1" applyAlignment="1">
      <alignment horizontal="right" vertical="center"/>
    </xf>
    <xf numFmtId="3" fontId="21" fillId="0" borderId="4" xfId="0" applyNumberFormat="1" applyFont="1" applyBorder="1" applyAlignment="1">
      <alignment horizontal="right" vertical="center"/>
    </xf>
    <xf numFmtId="0" fontId="21" fillId="0" borderId="0" xfId="0" applyFont="1" applyFill="1" applyAlignment="1">
      <alignment horizontal="right" vertical="center"/>
    </xf>
    <xf numFmtId="0" fontId="21" fillId="0" borderId="0" xfId="0" applyFont="1" applyBorder="1" applyAlignment="1">
      <alignment horizontal="right" vertical="center"/>
    </xf>
    <xf numFmtId="0" fontId="21" fillId="0" borderId="0" xfId="0" applyFont="1" applyFill="1" applyBorder="1" applyAlignment="1">
      <alignment horizontal="right" vertical="center"/>
    </xf>
    <xf numFmtId="170" fontId="21" fillId="0" borderId="0" xfId="0" applyNumberFormat="1" applyFont="1" applyFill="1" applyAlignment="1">
      <alignment horizontal="right" vertical="center"/>
    </xf>
    <xf numFmtId="170" fontId="21" fillId="0" borderId="0" xfId="0" applyNumberFormat="1" applyFont="1" applyBorder="1" applyAlignment="1">
      <alignment horizontal="right" vertical="center"/>
    </xf>
    <xf numFmtId="173" fontId="21" fillId="0" borderId="0" xfId="0" applyNumberFormat="1" applyFont="1" applyFill="1" applyAlignment="1">
      <alignment horizontal="right" vertical="center"/>
    </xf>
    <xf numFmtId="173" fontId="21" fillId="0" borderId="0" xfId="0" applyNumberFormat="1" applyFont="1" applyBorder="1" applyAlignment="1">
      <alignment horizontal="right" vertical="center"/>
    </xf>
    <xf numFmtId="0" fontId="20" fillId="0" borderId="0" xfId="0" applyFont="1"/>
    <xf numFmtId="0" fontId="21" fillId="0" borderId="0" xfId="0" applyFont="1" applyAlignment="1">
      <alignment horizontal="center"/>
    </xf>
    <xf numFmtId="169" fontId="21" fillId="0" borderId="0" xfId="0" applyNumberFormat="1" applyFont="1" applyFill="1" applyBorder="1" applyAlignment="1">
      <alignment horizontal="right"/>
    </xf>
    <xf numFmtId="0" fontId="21" fillId="0" borderId="0" xfId="0" applyFont="1" applyFill="1" applyAlignment="1">
      <alignment horizontal="right"/>
    </xf>
    <xf numFmtId="170" fontId="21" fillId="0" borderId="5" xfId="2" applyNumberFormat="1" applyFont="1" applyFill="1" applyBorder="1" applyAlignment="1">
      <alignment horizontal="right"/>
    </xf>
    <xf numFmtId="3" fontId="2" fillId="0" borderId="3" xfId="0" applyNumberFormat="1" applyFont="1" applyFill="1" applyBorder="1" applyAlignment="1">
      <alignment horizontal="right"/>
    </xf>
    <xf numFmtId="0" fontId="2" fillId="0" borderId="0" xfId="14" applyFont="1"/>
    <xf numFmtId="4" fontId="0" fillId="0" borderId="0" xfId="0" applyNumberFormat="1" applyFill="1"/>
    <xf numFmtId="0" fontId="0" fillId="0" borderId="0" xfId="0" applyNumberFormat="1" applyFill="1"/>
    <xf numFmtId="3" fontId="10" fillId="0" borderId="0" xfId="0" applyNumberFormat="1" applyFont="1" applyFill="1" applyBorder="1" applyAlignment="1">
      <alignment horizontal="right" vertical="top"/>
    </xf>
    <xf numFmtId="3" fontId="8" fillId="0" borderId="0" xfId="0" applyNumberFormat="1" applyFont="1" applyFill="1" applyBorder="1" applyAlignment="1">
      <alignment horizontal="right" wrapText="1"/>
    </xf>
    <xf numFmtId="0" fontId="2" fillId="0" borderId="0" xfId="0" applyFont="1" applyAlignment="1">
      <alignment horizontal="left" wrapText="1"/>
    </xf>
    <xf numFmtId="0" fontId="2" fillId="0" borderId="0" xfId="0" applyFont="1" applyAlignment="1">
      <alignment horizontal="left"/>
    </xf>
    <xf numFmtId="168" fontId="0" fillId="0" borderId="0" xfId="0" applyNumberFormat="1" applyFill="1"/>
    <xf numFmtId="0" fontId="2" fillId="0" borderId="0" xfId="0" applyFont="1" applyBorder="1" applyAlignment="1">
      <alignment vertical="top"/>
    </xf>
    <xf numFmtId="3" fontId="0" fillId="0" borderId="0" xfId="0" applyNumberFormat="1" applyBorder="1"/>
    <xf numFmtId="3" fontId="0" fillId="2" borderId="0" xfId="0" applyNumberFormat="1" applyFill="1" applyBorder="1" applyAlignment="1">
      <alignment horizontal="right" vertical="center"/>
    </xf>
    <xf numFmtId="0" fontId="0" fillId="3" borderId="0" xfId="0" applyFill="1" applyBorder="1"/>
    <xf numFmtId="173" fontId="0" fillId="0" borderId="0" xfId="0" applyNumberFormat="1" applyBorder="1"/>
    <xf numFmtId="170" fontId="0" fillId="0" borderId="0" xfId="0" applyNumberFormat="1"/>
    <xf numFmtId="169" fontId="2" fillId="0" borderId="0" xfId="0" applyNumberFormat="1" applyFont="1" applyBorder="1"/>
    <xf numFmtId="0" fontId="4" fillId="3" borderId="0" xfId="0" applyFont="1" applyFill="1" applyAlignment="1">
      <alignment vertical="top" wrapText="1"/>
    </xf>
    <xf numFmtId="166" fontId="21" fillId="0" borderId="2" xfId="18" applyNumberFormat="1" applyFont="1" applyBorder="1"/>
    <xf numFmtId="166" fontId="21" fillId="0" borderId="0" xfId="0" applyNumberFormat="1" applyFont="1" applyAlignment="1">
      <alignment horizontal="right"/>
    </xf>
    <xf numFmtId="0" fontId="10" fillId="3" borderId="0" xfId="0" applyFont="1" applyFill="1" applyAlignment="1">
      <alignment vertical="top" wrapText="1"/>
    </xf>
    <xf numFmtId="166" fontId="21" fillId="0" borderId="5" xfId="0" applyNumberFormat="1" applyFont="1" applyBorder="1" applyAlignment="1">
      <alignment horizontal="right"/>
    </xf>
    <xf numFmtId="169" fontId="21" fillId="3" borderId="6" xfId="0" applyNumberFormat="1" applyFont="1" applyFill="1" applyBorder="1" applyAlignment="1">
      <alignment vertical="top" wrapText="1"/>
    </xf>
    <xf numFmtId="0" fontId="4" fillId="3" borderId="0" xfId="0" applyFont="1" applyFill="1" applyAlignment="1">
      <alignment horizontal="center" vertical="top" wrapText="1"/>
    </xf>
    <xf numFmtId="0" fontId="0" fillId="0" borderId="0" xfId="0" applyAlignment="1">
      <alignment horizontal="left"/>
    </xf>
    <xf numFmtId="171" fontId="2" fillId="0" borderId="0" xfId="0" quotePrefix="1" applyNumberFormat="1" applyFont="1" applyFill="1" applyBorder="1" applyAlignment="1" applyProtection="1">
      <alignment vertical="center"/>
    </xf>
    <xf numFmtId="171" fontId="0" fillId="0" borderId="0" xfId="0" applyNumberFormat="1"/>
    <xf numFmtId="166" fontId="0" fillId="0" borderId="5" xfId="0" applyNumberFormat="1" applyBorder="1" applyAlignment="1">
      <alignment horizontal="right"/>
    </xf>
    <xf numFmtId="166" fontId="2" fillId="0" borderId="0" xfId="0" applyNumberFormat="1" applyFont="1"/>
    <xf numFmtId="3" fontId="3" fillId="0" borderId="0" xfId="0" applyNumberFormat="1" applyFont="1"/>
    <xf numFmtId="166" fontId="0" fillId="0" borderId="2" xfId="0" applyNumberFormat="1" applyFill="1" applyBorder="1" applyAlignment="1">
      <alignment horizontal="right"/>
    </xf>
    <xf numFmtId="0" fontId="22" fillId="3" borderId="0" xfId="0" applyFont="1" applyFill="1" applyAlignment="1">
      <alignment horizontal="center" vertical="center"/>
    </xf>
    <xf numFmtId="0" fontId="10" fillId="3" borderId="0" xfId="0" applyFont="1" applyFill="1" applyAlignment="1">
      <alignment vertical="center"/>
    </xf>
    <xf numFmtId="0" fontId="10" fillId="3" borderId="0" xfId="0" applyFont="1" applyFill="1" applyAlignment="1">
      <alignment horizontal="center" vertical="center"/>
    </xf>
    <xf numFmtId="0" fontId="22" fillId="3" borderId="0" xfId="0" applyFont="1" applyFill="1" applyAlignment="1">
      <alignment vertical="center"/>
    </xf>
    <xf numFmtId="0" fontId="71" fillId="3" borderId="0" xfId="0" applyFont="1" applyFill="1" applyAlignment="1">
      <alignment vertical="center"/>
    </xf>
    <xf numFmtId="0" fontId="0" fillId="3" borderId="0" xfId="0" applyFill="1" applyAlignment="1">
      <alignment horizontal="center" vertical="center"/>
    </xf>
    <xf numFmtId="0" fontId="0" fillId="3" borderId="0" xfId="0" applyFill="1" applyAlignment="1">
      <alignment horizontal="left" vertical="center"/>
    </xf>
    <xf numFmtId="0" fontId="66" fillId="3" borderId="0" xfId="0" applyFont="1" applyFill="1"/>
    <xf numFmtId="0" fontId="7" fillId="3" borderId="0" xfId="0" applyFont="1" applyFill="1"/>
    <xf numFmtId="0" fontId="19" fillId="3" borderId="0" xfId="0" applyFont="1" applyFill="1"/>
    <xf numFmtId="0" fontId="60" fillId="3" borderId="0" xfId="0" applyFont="1" applyFill="1"/>
    <xf numFmtId="0" fontId="59" fillId="3" borderId="0" xfId="0" applyFont="1" applyFill="1"/>
    <xf numFmtId="0" fontId="2" fillId="3" borderId="0" xfId="0" applyFont="1" applyFill="1"/>
    <xf numFmtId="0" fontId="0" fillId="3" borderId="2" xfId="0" applyFill="1" applyBorder="1"/>
    <xf numFmtId="0" fontId="2" fillId="3" borderId="2" xfId="0" applyFont="1" applyFill="1" applyBorder="1"/>
    <xf numFmtId="0" fontId="0" fillId="4" borderId="0" xfId="0" applyFill="1"/>
    <xf numFmtId="0" fontId="2" fillId="3" borderId="0" xfId="0" quotePrefix="1" applyFont="1" applyFill="1"/>
    <xf numFmtId="0" fontId="20" fillId="0" borderId="0" xfId="0" quotePrefix="1" applyFont="1" applyBorder="1" applyAlignment="1">
      <alignment horizontal="center" wrapText="1"/>
    </xf>
    <xf numFmtId="3" fontId="21" fillId="0" borderId="0" xfId="0" applyNumberFormat="1" applyFont="1" applyAlignment="1">
      <alignment horizontal="right"/>
    </xf>
    <xf numFmtId="0" fontId="22" fillId="0" borderId="0" xfId="0" applyFont="1" applyFill="1" applyAlignment="1">
      <alignment vertical="top"/>
    </xf>
    <xf numFmtId="0" fontId="28" fillId="0" borderId="0" xfId="0" applyFont="1" applyFill="1" applyAlignment="1">
      <alignment horizontal="left"/>
    </xf>
    <xf numFmtId="0" fontId="59" fillId="0" borderId="0" xfId="0" applyFont="1" applyAlignment="1">
      <alignment vertical="top"/>
    </xf>
    <xf numFmtId="0" fontId="3" fillId="3" borderId="0" xfId="0" applyFont="1" applyFill="1" applyBorder="1" applyAlignment="1">
      <alignment horizontal="center"/>
    </xf>
    <xf numFmtId="0" fontId="3" fillId="0" borderId="0" xfId="0" applyFont="1" applyBorder="1" applyAlignment="1">
      <alignment horizontal="center" wrapText="1"/>
    </xf>
    <xf numFmtId="0" fontId="0" fillId="0" borderId="0" xfId="0" applyBorder="1" applyAlignment="1">
      <alignment horizontal="right"/>
    </xf>
    <xf numFmtId="173" fontId="2" fillId="3" borderId="0" xfId="15" applyNumberFormat="1" applyFill="1" applyAlignment="1">
      <alignment horizontal="right"/>
    </xf>
    <xf numFmtId="169" fontId="68" fillId="0" borderId="0" xfId="2" applyNumberFormat="1" applyFont="1"/>
    <xf numFmtId="0" fontId="24" fillId="3" borderId="0" xfId="0" applyFont="1" applyFill="1"/>
    <xf numFmtId="0" fontId="72" fillId="3" borderId="0" xfId="0" applyFont="1" applyFill="1"/>
    <xf numFmtId="173" fontId="2" fillId="0" borderId="0" xfId="15" applyNumberFormat="1" applyFill="1" applyAlignment="1">
      <alignment horizontal="right"/>
    </xf>
    <xf numFmtId="0" fontId="2" fillId="2" borderId="0" xfId="0" applyFont="1" applyFill="1"/>
    <xf numFmtId="0" fontId="2" fillId="2" borderId="0" xfId="0" applyFont="1" applyFill="1" applyAlignment="1">
      <alignment horizontal="center"/>
    </xf>
    <xf numFmtId="173" fontId="2" fillId="2" borderId="3" xfId="15" applyNumberFormat="1" applyFont="1" applyFill="1" applyBorder="1" applyAlignment="1">
      <alignment horizontal="right"/>
    </xf>
    <xf numFmtId="173" fontId="2" fillId="0" borderId="0" xfId="15" applyNumberFormat="1" applyFill="1" applyBorder="1" applyAlignment="1">
      <alignment horizontal="right"/>
    </xf>
    <xf numFmtId="173" fontId="2" fillId="0" borderId="0" xfId="15" applyNumberFormat="1" applyBorder="1" applyAlignment="1">
      <alignment horizontal="right"/>
    </xf>
    <xf numFmtId="0" fontId="24" fillId="0" borderId="0" xfId="0" applyFont="1"/>
    <xf numFmtId="173" fontId="24" fillId="0" borderId="0" xfId="15" applyNumberFormat="1" applyFont="1" applyFill="1" applyAlignment="1">
      <alignment horizontal="right"/>
    </xf>
    <xf numFmtId="173" fontId="24" fillId="0" borderId="0" xfId="15" applyNumberFormat="1" applyFont="1" applyBorder="1" applyAlignment="1">
      <alignment horizontal="right"/>
    </xf>
    <xf numFmtId="173" fontId="2" fillId="0" borderId="3" xfId="3" applyNumberFormat="1" applyFont="1" applyFill="1" applyBorder="1" applyAlignment="1">
      <alignment horizontal="right"/>
    </xf>
    <xf numFmtId="173" fontId="0" fillId="0" borderId="0" xfId="0" applyNumberFormat="1" applyAlignment="1">
      <alignment horizontal="right"/>
    </xf>
    <xf numFmtId="0" fontId="2" fillId="3" borderId="0" xfId="0" applyFont="1" applyFill="1" applyAlignment="1">
      <alignment vertical="center" wrapText="1"/>
    </xf>
    <xf numFmtId="0" fontId="2" fillId="0" borderId="0" xfId="0" applyFont="1" applyAlignment="1">
      <alignment horizontal="left" vertical="top" wrapText="1"/>
    </xf>
    <xf numFmtId="173" fontId="2" fillId="3" borderId="0" xfId="15" applyNumberFormat="1" applyFill="1" applyAlignment="1">
      <alignment horizontal="left"/>
    </xf>
    <xf numFmtId="173" fontId="2" fillId="3" borderId="0" xfId="15" applyNumberFormat="1" applyFill="1" applyBorder="1" applyAlignment="1">
      <alignment horizontal="right"/>
    </xf>
    <xf numFmtId="169" fontId="2" fillId="3" borderId="0" xfId="0" applyNumberFormat="1" applyFont="1" applyFill="1" applyAlignment="1">
      <alignment vertical="center" wrapText="1"/>
    </xf>
    <xf numFmtId="173" fontId="2" fillId="0" borderId="3" xfId="15" applyNumberFormat="1" applyFont="1" applyFill="1" applyBorder="1" applyAlignment="1">
      <alignment horizontal="right"/>
    </xf>
    <xf numFmtId="173" fontId="2" fillId="3" borderId="3" xfId="15" applyNumberFormat="1" applyFont="1" applyFill="1" applyBorder="1" applyAlignment="1">
      <alignment horizontal="right"/>
    </xf>
    <xf numFmtId="173" fontId="2" fillId="3" borderId="0" xfId="0" applyNumberFormat="1" applyFont="1" applyFill="1" applyAlignment="1">
      <alignment vertical="center" wrapText="1"/>
    </xf>
    <xf numFmtId="0" fontId="3" fillId="2" borderId="0" xfId="0" applyFont="1" applyFill="1" applyAlignment="1">
      <alignment vertical="center" wrapText="1"/>
    </xf>
    <xf numFmtId="0" fontId="0" fillId="2" borderId="0" xfId="0" applyFill="1" applyAlignment="1">
      <alignment vertical="center" wrapText="1"/>
    </xf>
    <xf numFmtId="0" fontId="2" fillId="0" borderId="0" xfId="0" applyFont="1" applyAlignment="1">
      <alignment vertical="top" wrapText="1"/>
    </xf>
    <xf numFmtId="0" fontId="2" fillId="3" borderId="0" xfId="0" applyFont="1" applyFill="1" applyAlignment="1">
      <alignment vertical="top" wrapText="1"/>
    </xf>
    <xf numFmtId="0" fontId="2" fillId="3" borderId="0" xfId="0" applyFont="1" applyFill="1" applyAlignment="1">
      <alignment horizontal="center" vertical="center" wrapText="1"/>
    </xf>
    <xf numFmtId="173" fontId="2" fillId="2" borderId="0" xfId="15" applyNumberFormat="1" applyFont="1" applyFill="1" applyBorder="1" applyAlignment="1">
      <alignment horizontal="right"/>
    </xf>
    <xf numFmtId="173" fontId="2" fillId="2" borderId="0" xfId="15" applyNumberFormat="1" applyFill="1" applyBorder="1" applyAlignment="1">
      <alignment horizontal="right"/>
    </xf>
    <xf numFmtId="173" fontId="0" fillId="0" borderId="7" xfId="0" applyNumberFormat="1" applyBorder="1" applyAlignment="1">
      <alignment horizontal="right"/>
    </xf>
    <xf numFmtId="173" fontId="0" fillId="0" borderId="0" xfId="0" applyNumberFormat="1" applyBorder="1" applyAlignment="1">
      <alignment horizontal="right"/>
    </xf>
    <xf numFmtId="173" fontId="0" fillId="0" borderId="8" xfId="0" applyNumberFormat="1" applyBorder="1" applyAlignment="1">
      <alignment horizontal="right"/>
    </xf>
    <xf numFmtId="0" fontId="19" fillId="3" borderId="0" xfId="0" applyFont="1" applyFill="1" applyAlignment="1">
      <alignment vertical="center"/>
    </xf>
    <xf numFmtId="0" fontId="2" fillId="2" borderId="0" xfId="0" applyFont="1" applyFill="1" applyAlignment="1">
      <alignment horizontal="center" vertical="center" wrapText="1"/>
    </xf>
    <xf numFmtId="173" fontId="2" fillId="2" borderId="4" xfId="3" applyNumberFormat="1" applyFont="1" applyFill="1" applyBorder="1" applyAlignment="1">
      <alignment horizontal="right"/>
    </xf>
    <xf numFmtId="173" fontId="0" fillId="6" borderId="9" xfId="0" applyNumberFormat="1" applyFill="1" applyBorder="1" applyAlignment="1">
      <alignment horizontal="right"/>
    </xf>
    <xf numFmtId="173" fontId="0" fillId="6" borderId="5" xfId="0" applyNumberFormat="1" applyFill="1" applyBorder="1" applyAlignment="1">
      <alignment horizontal="right"/>
    </xf>
    <xf numFmtId="173" fontId="0" fillId="6" borderId="10" xfId="0" applyNumberFormat="1" applyFill="1" applyBorder="1" applyAlignment="1">
      <alignment horizontal="right"/>
    </xf>
    <xf numFmtId="3" fontId="0" fillId="0" borderId="0" xfId="0" applyNumberFormat="1" applyBorder="1" applyAlignment="1">
      <alignment horizontal="right"/>
    </xf>
    <xf numFmtId="173" fontId="0" fillId="0" borderId="11" xfId="0" applyNumberFormat="1" applyBorder="1" applyAlignment="1">
      <alignment horizontal="right"/>
    </xf>
    <xf numFmtId="173" fontId="0" fillId="0" borderId="2" xfId="0" applyNumberFormat="1" applyBorder="1" applyAlignment="1">
      <alignment horizontal="right"/>
    </xf>
    <xf numFmtId="173" fontId="0" fillId="3" borderId="12" xfId="0" applyNumberFormat="1" applyFill="1" applyBorder="1" applyAlignment="1">
      <alignment horizontal="right"/>
    </xf>
    <xf numFmtId="0" fontId="21" fillId="0" borderId="0" xfId="0" applyFont="1" applyAlignment="1">
      <alignment vertical="center"/>
    </xf>
    <xf numFmtId="0" fontId="24" fillId="0" borderId="0" xfId="0" applyFont="1" applyFill="1" applyAlignment="1">
      <alignment horizontal="left" vertical="center"/>
    </xf>
    <xf numFmtId="0" fontId="73" fillId="0" borderId="0" xfId="0" applyFont="1" applyAlignment="1">
      <alignment vertical="center"/>
    </xf>
    <xf numFmtId="0" fontId="2" fillId="0" borderId="0" xfId="0" applyFont="1" applyFill="1" applyAlignment="1">
      <alignment horizontal="center"/>
    </xf>
    <xf numFmtId="0" fontId="22" fillId="0" borderId="0" xfId="0" applyFont="1" applyFill="1"/>
    <xf numFmtId="0" fontId="2" fillId="0" borderId="0" xfId="0" applyFont="1" applyFill="1" applyBorder="1" applyAlignment="1">
      <alignment vertical="center" wrapText="1"/>
    </xf>
    <xf numFmtId="0" fontId="50" fillId="0" borderId="0" xfId="16" applyFont="1" applyAlignment="1"/>
    <xf numFmtId="0" fontId="50" fillId="0" borderId="0" xfId="16" applyFont="1" applyAlignment="1">
      <alignment horizontal="left" wrapText="1"/>
    </xf>
    <xf numFmtId="0" fontId="61" fillId="0" borderId="0" xfId="16" applyFont="1" applyAlignment="1">
      <alignment horizontal="left"/>
    </xf>
    <xf numFmtId="0" fontId="62" fillId="0" borderId="0" xfId="16" applyFont="1" applyAlignment="1">
      <alignment horizontal="left"/>
    </xf>
    <xf numFmtId="170" fontId="0" fillId="0" borderId="2" xfId="2" applyNumberFormat="1" applyFont="1" applyFill="1" applyBorder="1" applyAlignment="1">
      <alignment horizontal="right"/>
    </xf>
    <xf numFmtId="170" fontId="0" fillId="0" borderId="5" xfId="0" applyNumberFormat="1" applyFill="1" applyBorder="1" applyAlignment="1">
      <alignment horizontal="right"/>
    </xf>
    <xf numFmtId="3" fontId="0" fillId="0" borderId="5" xfId="0" applyNumberFormat="1" applyFill="1" applyBorder="1" applyAlignment="1">
      <alignment horizontal="right"/>
    </xf>
    <xf numFmtId="3" fontId="3" fillId="0" borderId="0" xfId="0" applyNumberFormat="1" applyFont="1" applyFill="1" applyAlignment="1">
      <alignment horizontal="center"/>
    </xf>
    <xf numFmtId="170" fontId="3" fillId="0" borderId="0" xfId="0" applyNumberFormat="1" applyFont="1" applyFill="1" applyAlignment="1">
      <alignment horizontal="center" wrapText="1"/>
    </xf>
    <xf numFmtId="170" fontId="3" fillId="0" borderId="0" xfId="0" applyNumberFormat="1" applyFont="1" applyFill="1" applyBorder="1" applyAlignment="1">
      <alignment horizontal="center" wrapText="1"/>
    </xf>
    <xf numFmtId="0" fontId="2" fillId="0" borderId="0" xfId="0" applyFont="1" applyFill="1" applyBorder="1"/>
    <xf numFmtId="0" fontId="3" fillId="0" borderId="0" xfId="0" applyFont="1" applyFill="1" applyBorder="1" applyAlignment="1">
      <alignment horizontal="left" vertical="top"/>
    </xf>
    <xf numFmtId="0" fontId="2" fillId="0" borderId="0" xfId="0" applyFont="1" applyFill="1" applyBorder="1" applyAlignment="1">
      <alignment horizontal="left"/>
    </xf>
    <xf numFmtId="0" fontId="0" fillId="0" borderId="0" xfId="0" applyFill="1" applyBorder="1" applyAlignment="1">
      <alignment horizontal="left"/>
    </xf>
    <xf numFmtId="0" fontId="4" fillId="0" borderId="0" xfId="0" applyFont="1" applyFill="1" applyBorder="1" applyAlignment="1">
      <alignment horizontal="left"/>
    </xf>
    <xf numFmtId="0" fontId="28" fillId="0" borderId="0" xfId="0" applyFont="1" applyBorder="1" applyAlignment="1">
      <alignment horizontal="left"/>
    </xf>
    <xf numFmtId="0" fontId="28" fillId="0" borderId="0" xfId="0" applyFont="1" applyBorder="1"/>
    <xf numFmtId="0" fontId="28" fillId="0" borderId="0" xfId="0" applyFont="1" applyBorder="1" applyAlignment="1">
      <alignment horizontal="right"/>
    </xf>
    <xf numFmtId="0" fontId="27" fillId="0" borderId="0" xfId="0" applyFont="1" applyBorder="1"/>
    <xf numFmtId="0" fontId="28" fillId="0" borderId="0" xfId="0" applyFont="1" applyFill="1" applyBorder="1" applyAlignment="1">
      <alignment horizontal="right"/>
    </xf>
    <xf numFmtId="0" fontId="4" fillId="0" borderId="0" xfId="0" applyFont="1" applyBorder="1" applyAlignment="1">
      <alignment horizontal="left"/>
    </xf>
    <xf numFmtId="0" fontId="4" fillId="0" borderId="0" xfId="0" applyFont="1" applyBorder="1" applyAlignment="1">
      <alignment horizontal="right"/>
    </xf>
    <xf numFmtId="173" fontId="4" fillId="0" borderId="0" xfId="0" applyNumberFormat="1" applyFont="1" applyBorder="1" applyAlignment="1">
      <alignment horizontal="right"/>
    </xf>
    <xf numFmtId="3" fontId="3" fillId="0" borderId="0" xfId="0" applyNumberFormat="1" applyFont="1" applyFill="1" applyBorder="1" applyAlignment="1">
      <alignment horizontal="center" wrapText="1"/>
    </xf>
    <xf numFmtId="170" fontId="3" fillId="0" borderId="0" xfId="0" applyNumberFormat="1" applyFont="1" applyFill="1" applyBorder="1" applyAlignment="1">
      <alignment horizontal="center"/>
    </xf>
    <xf numFmtId="173" fontId="4" fillId="0" borderId="5" xfId="0" applyNumberFormat="1" applyFont="1" applyBorder="1" applyAlignment="1">
      <alignment horizontal="right"/>
    </xf>
    <xf numFmtId="173" fontId="0" fillId="0" borderId="5" xfId="0" applyNumberFormat="1" applyFill="1" applyBorder="1" applyAlignment="1">
      <alignment horizontal="right"/>
    </xf>
    <xf numFmtId="0" fontId="75" fillId="0" borderId="0" xfId="0" applyFont="1" applyFill="1" applyAlignment="1">
      <alignment horizontal="left" vertical="top"/>
    </xf>
    <xf numFmtId="0" fontId="3" fillId="0" borderId="0" xfId="0" quotePrefix="1" applyFont="1" applyFill="1" applyBorder="1" applyAlignment="1">
      <alignment horizontal="right"/>
    </xf>
    <xf numFmtId="170" fontId="4" fillId="0" borderId="5" xfId="0" applyNumberFormat="1" applyFont="1" applyFill="1" applyBorder="1" applyAlignment="1">
      <alignment horizontal="right" wrapText="1"/>
    </xf>
    <xf numFmtId="3" fontId="2" fillId="0" borderId="5" xfId="0" applyNumberFormat="1" applyFont="1" applyFill="1" applyBorder="1" applyAlignment="1">
      <alignment horizontal="right"/>
    </xf>
    <xf numFmtId="169" fontId="0" fillId="0" borderId="0" xfId="2" applyNumberFormat="1" applyFont="1" applyFill="1" applyBorder="1" applyAlignment="1">
      <alignment horizontal="left"/>
    </xf>
    <xf numFmtId="166" fontId="0" fillId="0" borderId="0" xfId="0" applyNumberFormat="1" applyFill="1"/>
    <xf numFmtId="166" fontId="0" fillId="0" borderId="0" xfId="0" applyNumberFormat="1" applyFill="1" applyBorder="1"/>
    <xf numFmtId="166" fontId="2" fillId="0" borderId="0" xfId="0" applyNumberFormat="1" applyFont="1" applyFill="1" applyBorder="1" applyAlignment="1">
      <alignment horizontal="right"/>
    </xf>
    <xf numFmtId="166" fontId="14" fillId="0" borderId="5" xfId="0" applyNumberFormat="1" applyFont="1" applyFill="1" applyBorder="1"/>
    <xf numFmtId="166" fontId="2" fillId="0" borderId="0" xfId="0" applyNumberFormat="1" applyFont="1" applyBorder="1" applyAlignment="1">
      <alignment horizontal="right"/>
    </xf>
    <xf numFmtId="166" fontId="27" fillId="0" borderId="0" xfId="0" applyNumberFormat="1" applyFont="1" applyBorder="1"/>
    <xf numFmtId="166" fontId="28" fillId="0" borderId="0" xfId="0" applyNumberFormat="1" applyFont="1" applyBorder="1" applyAlignment="1">
      <alignment horizontal="right"/>
    </xf>
    <xf numFmtId="166" fontId="28" fillId="0" borderId="0" xfId="0" applyNumberFormat="1" applyFont="1" applyFill="1" applyBorder="1" applyAlignment="1">
      <alignment horizontal="right"/>
    </xf>
    <xf numFmtId="166" fontId="4" fillId="0" borderId="5" xfId="0" applyNumberFormat="1" applyFont="1" applyBorder="1" applyAlignment="1">
      <alignment horizontal="right"/>
    </xf>
    <xf numFmtId="173" fontId="2" fillId="0" borderId="5" xfId="0" applyNumberFormat="1" applyFont="1" applyFill="1" applyBorder="1" applyAlignment="1">
      <alignment horizontal="right"/>
    </xf>
    <xf numFmtId="3" fontId="21" fillId="0" borderId="0" xfId="0" applyNumberFormat="1" applyFont="1" applyBorder="1" applyAlignment="1">
      <alignment horizontal="right"/>
    </xf>
    <xf numFmtId="166" fontId="21" fillId="0" borderId="0" xfId="18" applyNumberFormat="1" applyFont="1" applyBorder="1"/>
    <xf numFmtId="173" fontId="12" fillId="3" borderId="0" xfId="15" applyNumberFormat="1" applyFont="1" applyFill="1" applyAlignment="1">
      <alignment horizontal="right"/>
    </xf>
    <xf numFmtId="0" fontId="76" fillId="0" borderId="0" xfId="0" applyFont="1" applyAlignment="1"/>
    <xf numFmtId="0" fontId="77" fillId="0" borderId="0" xfId="0" applyFont="1" applyAlignment="1"/>
    <xf numFmtId="0" fontId="77" fillId="0" borderId="0" xfId="0" applyFont="1" applyAlignment="1">
      <alignment horizontal="right"/>
    </xf>
    <xf numFmtId="0" fontId="77" fillId="0" borderId="0" xfId="0" applyFont="1" applyBorder="1" applyAlignment="1"/>
    <xf numFmtId="0" fontId="0" fillId="0" borderId="0" xfId="0" quotePrefix="1"/>
    <xf numFmtId="3" fontId="68" fillId="0" borderId="0" xfId="0" applyNumberFormat="1" applyFont="1"/>
    <xf numFmtId="3" fontId="68" fillId="7" borderId="0" xfId="0" applyNumberFormat="1" applyFont="1" applyFill="1"/>
    <xf numFmtId="3" fontId="68" fillId="7" borderId="13" xfId="0" applyNumberFormat="1" applyFont="1" applyFill="1" applyBorder="1"/>
    <xf numFmtId="3" fontId="68" fillId="0" borderId="13" xfId="0" applyNumberFormat="1" applyFont="1" applyBorder="1"/>
    <xf numFmtId="3" fontId="68" fillId="0" borderId="0" xfId="0" applyNumberFormat="1" applyFont="1" applyFill="1"/>
    <xf numFmtId="3" fontId="68" fillId="0" borderId="5" xfId="0" applyNumberFormat="1" applyFont="1" applyBorder="1"/>
    <xf numFmtId="0" fontId="0" fillId="0" borderId="0" xfId="0" applyAlignment="1" applyProtection="1">
      <protection locked="0"/>
    </xf>
    <xf numFmtId="0" fontId="3" fillId="0" borderId="0" xfId="0" quotePrefix="1" applyFont="1"/>
    <xf numFmtId="0" fontId="0" fillId="0" borderId="0" xfId="0" applyAlignment="1" applyProtection="1">
      <alignment horizontal="left" vertical="top" wrapText="1"/>
      <protection locked="0"/>
    </xf>
    <xf numFmtId="0" fontId="0" fillId="0" borderId="0" xfId="0" applyBorder="1" applyAlignment="1" applyProtection="1">
      <protection locked="0"/>
    </xf>
    <xf numFmtId="0" fontId="68" fillId="0" borderId="0" xfId="0" applyFont="1"/>
    <xf numFmtId="3" fontId="0" fillId="0" borderId="0" xfId="0" quotePrefix="1" applyNumberFormat="1"/>
    <xf numFmtId="0" fontId="68" fillId="0" borderId="0" xfId="0" applyFont="1" applyFill="1"/>
    <xf numFmtId="3" fontId="68" fillId="0" borderId="13" xfId="0" applyNumberFormat="1" applyFont="1" applyFill="1" applyBorder="1"/>
    <xf numFmtId="3" fontId="68" fillId="0" borderId="5" xfId="0" applyNumberFormat="1" applyFont="1" applyFill="1" applyBorder="1"/>
    <xf numFmtId="173" fontId="0" fillId="0" borderId="0" xfId="0" applyNumberFormat="1" applyFill="1"/>
    <xf numFmtId="173" fontId="0" fillId="3" borderId="0" xfId="0" applyNumberFormat="1" applyFill="1"/>
    <xf numFmtId="0" fontId="70" fillId="3" borderId="0" xfId="0" applyFont="1" applyFill="1" applyAlignment="1">
      <alignment horizontal="left"/>
    </xf>
    <xf numFmtId="0" fontId="57" fillId="0" borderId="0" xfId="16" applyFont="1" applyAlignment="1">
      <alignment horizontal="left" wrapText="1"/>
    </xf>
    <xf numFmtId="0" fontId="50" fillId="0" borderId="0" xfId="16" applyFont="1" applyAlignment="1">
      <alignment horizontal="left" wrapText="1"/>
    </xf>
    <xf numFmtId="0" fontId="2" fillId="0" borderId="0" xfId="0" applyFont="1" applyFill="1" applyAlignment="1">
      <alignment horizontal="left" wrapText="1"/>
    </xf>
    <xf numFmtId="17" fontId="2" fillId="3" borderId="0" xfId="0" quotePrefix="1" applyNumberFormat="1" applyFont="1" applyFill="1" applyAlignment="1">
      <alignment horizontal="left" vertical="center"/>
    </xf>
    <xf numFmtId="0" fontId="5" fillId="0" borderId="0" xfId="0" applyFont="1" applyAlignment="1">
      <alignment horizontal="left" vertical="center"/>
    </xf>
    <xf numFmtId="0" fontId="83" fillId="0" borderId="0" xfId="0" applyFont="1" applyAlignment="1">
      <alignment vertical="center"/>
    </xf>
    <xf numFmtId="0" fontId="2" fillId="8" borderId="0" xfId="0" applyFont="1" applyFill="1" applyBorder="1" applyAlignment="1">
      <alignment horizontal="left" vertical="top" wrapText="1"/>
    </xf>
    <xf numFmtId="0" fontId="3" fillId="8" borderId="0" xfId="0" applyFont="1" applyFill="1" applyBorder="1" applyAlignment="1">
      <alignment vertical="top"/>
    </xf>
    <xf numFmtId="0" fontId="2" fillId="8" borderId="0" xfId="0" applyFont="1" applyFill="1" applyBorder="1"/>
    <xf numFmtId="0" fontId="3" fillId="8" borderId="0" xfId="0" applyFont="1" applyFill="1" applyBorder="1" applyAlignment="1">
      <alignment horizontal="center"/>
    </xf>
    <xf numFmtId="173" fontId="2" fillId="0" borderId="0" xfId="0" applyNumberFormat="1" applyFont="1" applyFill="1" applyBorder="1"/>
    <xf numFmtId="173" fontId="2" fillId="8" borderId="5" xfId="0" applyNumberFormat="1" applyFont="1" applyFill="1" applyBorder="1"/>
    <xf numFmtId="0" fontId="80" fillId="8" borderId="0" xfId="0" applyFont="1" applyFill="1" applyBorder="1" applyAlignment="1">
      <alignment vertical="top" wrapText="1"/>
    </xf>
    <xf numFmtId="0" fontId="80" fillId="8" borderId="0" xfId="0" applyFont="1" applyFill="1" applyBorder="1" applyAlignment="1">
      <alignment vertical="top"/>
    </xf>
    <xf numFmtId="0" fontId="80" fillId="8" borderId="0" xfId="0" applyFont="1" applyFill="1" applyBorder="1"/>
    <xf numFmtId="3" fontId="80" fillId="8" borderId="0" xfId="0" applyNumberFormat="1" applyFont="1" applyFill="1" applyBorder="1"/>
    <xf numFmtId="0" fontId="81" fillId="8" borderId="0" xfId="0" applyFont="1" applyFill="1" applyBorder="1" applyAlignment="1">
      <alignment vertical="top"/>
    </xf>
    <xf numFmtId="3" fontId="2" fillId="8" borderId="0" xfId="0" applyNumberFormat="1" applyFont="1" applyFill="1"/>
    <xf numFmtId="3" fontId="81" fillId="8" borderId="0" xfId="0" applyNumberFormat="1" applyFont="1" applyFill="1" applyBorder="1" applyAlignment="1">
      <alignment horizontal="center"/>
    </xf>
    <xf numFmtId="3" fontId="81" fillId="8" borderId="0" xfId="0" applyNumberFormat="1" applyFont="1" applyFill="1" applyBorder="1" applyAlignment="1">
      <alignment horizontal="center" wrapText="1"/>
    </xf>
    <xf numFmtId="0" fontId="81" fillId="8" borderId="0" xfId="0" applyFont="1" applyFill="1" applyBorder="1"/>
    <xf numFmtId="173" fontId="84" fillId="8" borderId="0" xfId="0" applyNumberFormat="1" applyFont="1" applyFill="1" applyBorder="1"/>
    <xf numFmtId="173" fontId="80" fillId="8" borderId="0" xfId="0" applyNumberFormat="1" applyFont="1" applyFill="1" applyBorder="1" applyAlignment="1">
      <alignment horizontal="right"/>
    </xf>
    <xf numFmtId="173" fontId="80" fillId="8" borderId="0" xfId="0" applyNumberFormat="1" applyFont="1" applyFill="1" applyBorder="1" applyAlignment="1"/>
    <xf numFmtId="173" fontId="80" fillId="8" borderId="0" xfId="0" applyNumberFormat="1" applyFont="1" applyFill="1" applyBorder="1"/>
    <xf numFmtId="173" fontId="80" fillId="8" borderId="5" xfId="0" applyNumberFormat="1" applyFont="1" applyFill="1" applyBorder="1" applyAlignment="1">
      <alignment horizontal="right"/>
    </xf>
    <xf numFmtId="3" fontId="80" fillId="8" borderId="0" xfId="0" applyNumberFormat="1" applyFont="1" applyFill="1" applyBorder="1" applyAlignment="1">
      <alignment horizontal="right"/>
    </xf>
    <xf numFmtId="173" fontId="2" fillId="8" borderId="0" xfId="0" applyNumberFormat="1" applyFont="1" applyFill="1" applyBorder="1" applyAlignment="1">
      <alignment horizontal="right"/>
    </xf>
    <xf numFmtId="173" fontId="2" fillId="8" borderId="0" xfId="0" applyNumberFormat="1" applyFont="1" applyFill="1" applyBorder="1"/>
    <xf numFmtId="0" fontId="10" fillId="0" borderId="2" xfId="0" applyFont="1" applyFill="1" applyBorder="1" applyAlignment="1">
      <alignment horizontal="right" vertical="top"/>
    </xf>
    <xf numFmtId="173" fontId="14" fillId="0" borderId="6" xfId="0" applyNumberFormat="1" applyFont="1" applyFill="1" applyBorder="1" applyAlignment="1">
      <alignment horizontal="right"/>
    </xf>
    <xf numFmtId="0" fontId="2" fillId="0" borderId="0" xfId="0" applyFont="1" applyFill="1" applyBorder="1" applyAlignment="1">
      <alignment horizontal="right" wrapText="1"/>
    </xf>
    <xf numFmtId="176" fontId="14" fillId="0" borderId="0" xfId="0" applyNumberFormat="1" applyFont="1" applyFill="1" applyBorder="1" applyAlignment="1">
      <alignment horizontal="right"/>
    </xf>
    <xf numFmtId="3" fontId="2" fillId="0" borderId="0" xfId="0" applyNumberFormat="1" applyFont="1" applyFill="1" applyAlignment="1">
      <alignment horizontal="right" wrapText="1"/>
    </xf>
    <xf numFmtId="2" fontId="2" fillId="0" borderId="0" xfId="0" applyNumberFormat="1" applyFont="1" applyFill="1" applyAlignment="1">
      <alignment horizontal="right" wrapText="1"/>
    </xf>
    <xf numFmtId="41" fontId="0" fillId="0" borderId="0" xfId="0" applyNumberFormat="1"/>
    <xf numFmtId="41" fontId="0" fillId="0" borderId="0" xfId="0" applyNumberFormat="1" applyBorder="1"/>
    <xf numFmtId="0" fontId="2" fillId="0" borderId="0" xfId="0" quotePrefix="1" applyFont="1"/>
    <xf numFmtId="0" fontId="0" fillId="3" borderId="0" xfId="0" quotePrefix="1" applyFill="1" applyAlignment="1">
      <alignment horizontal="left" vertical="center"/>
    </xf>
    <xf numFmtId="0" fontId="2" fillId="0" borderId="0" xfId="0" applyFont="1" applyFill="1" applyAlignment="1">
      <alignment horizontal="left" wrapText="1"/>
    </xf>
    <xf numFmtId="0" fontId="85" fillId="0" borderId="0" xfId="0" applyFont="1"/>
    <xf numFmtId="0" fontId="85" fillId="0" borderId="0" xfId="0" applyFont="1" applyFill="1"/>
    <xf numFmtId="0" fontId="85" fillId="5" borderId="0" xfId="0" applyFont="1" applyFill="1" applyAlignment="1">
      <alignment vertical="top" wrapText="1"/>
    </xf>
    <xf numFmtId="3" fontId="85" fillId="0" borderId="0" xfId="0" applyNumberFormat="1" applyFont="1" applyFill="1" applyBorder="1"/>
    <xf numFmtId="3" fontId="2" fillId="4" borderId="0" xfId="0" applyNumberFormat="1" applyFont="1" applyFill="1"/>
    <xf numFmtId="3" fontId="2" fillId="0" borderId="2" xfId="0" applyNumberFormat="1" applyFont="1" applyFill="1" applyBorder="1" applyAlignment="1">
      <alignment horizontal="right"/>
    </xf>
    <xf numFmtId="0" fontId="86" fillId="0" borderId="0" xfId="0" applyFont="1" applyFill="1" applyAlignment="1">
      <alignment vertical="top"/>
    </xf>
    <xf numFmtId="164" fontId="14" fillId="0" borderId="0" xfId="6" applyNumberFormat="1" applyFont="1" applyFill="1" applyBorder="1" applyAlignment="1">
      <alignment horizontal="right"/>
    </xf>
    <xf numFmtId="3" fontId="81" fillId="8" borderId="0" xfId="0" applyNumberFormat="1" applyFont="1" applyFill="1" applyBorder="1" applyAlignment="1">
      <alignment horizontal="center" wrapText="1"/>
    </xf>
    <xf numFmtId="0" fontId="3" fillId="0" borderId="0" xfId="23" applyFont="1" applyAlignment="1">
      <alignment horizontal="left"/>
    </xf>
    <xf numFmtId="0" fontId="68" fillId="0" borderId="0" xfId="23"/>
    <xf numFmtId="0" fontId="68" fillId="0" borderId="0" xfId="23" applyAlignment="1">
      <alignment horizontal="left"/>
    </xf>
    <xf numFmtId="171" fontId="2" fillId="0" borderId="0" xfId="23" quotePrefix="1" applyNumberFormat="1" applyFont="1" applyFill="1" applyBorder="1" applyAlignment="1" applyProtection="1">
      <alignment vertical="center"/>
    </xf>
    <xf numFmtId="171" fontId="68" fillId="0" borderId="0" xfId="23" applyNumberFormat="1"/>
    <xf numFmtId="0" fontId="68" fillId="0" borderId="0" xfId="23" applyFill="1" applyAlignment="1">
      <alignment horizontal="left"/>
    </xf>
    <xf numFmtId="0" fontId="2" fillId="0" borderId="0" xfId="23" applyFont="1" applyFill="1" applyAlignment="1">
      <alignment horizontal="left"/>
    </xf>
    <xf numFmtId="0" fontId="2" fillId="0" borderId="0" xfId="23" applyFont="1" applyAlignment="1">
      <alignment horizontal="left"/>
    </xf>
    <xf numFmtId="0" fontId="66" fillId="0" borderId="0" xfId="23" applyFont="1" applyAlignment="1">
      <alignment horizontal="left"/>
    </xf>
    <xf numFmtId="0" fontId="2" fillId="0" borderId="0" xfId="23" applyFont="1"/>
    <xf numFmtId="0" fontId="3" fillId="0" borderId="0" xfId="23" applyFont="1" applyFill="1" applyAlignment="1">
      <alignment horizontal="left"/>
    </xf>
    <xf numFmtId="0" fontId="67" fillId="0" borderId="0" xfId="23" applyFont="1" applyFill="1" applyAlignment="1">
      <alignment horizontal="left" vertical="top"/>
    </xf>
    <xf numFmtId="0" fontId="68" fillId="0" borderId="0" xfId="23" applyFill="1"/>
    <xf numFmtId="171" fontId="68" fillId="0" borderId="0" xfId="23" applyNumberFormat="1" applyFill="1"/>
    <xf numFmtId="0" fontId="2" fillId="0" borderId="0" xfId="23" applyFont="1" applyFill="1"/>
    <xf numFmtId="166" fontId="21" fillId="0" borderId="0" xfId="2" applyNumberFormat="1" applyFont="1" applyFill="1" applyBorder="1" applyAlignment="1">
      <alignment horizontal="right"/>
    </xf>
    <xf numFmtId="41" fontId="2" fillId="0" borderId="2" xfId="2" applyNumberFormat="1" applyFont="1" applyFill="1" applyBorder="1" applyAlignment="1">
      <alignment horizontal="right"/>
    </xf>
    <xf numFmtId="166" fontId="4" fillId="0" borderId="0" xfId="0" applyNumberFormat="1" applyFont="1" applyFill="1" applyBorder="1"/>
    <xf numFmtId="0" fontId="81" fillId="0" borderId="0" xfId="0" applyFont="1" applyFill="1" applyBorder="1" applyAlignment="1">
      <alignment vertical="top"/>
    </xf>
    <xf numFmtId="173" fontId="2" fillId="0" borderId="0" xfId="15" applyNumberFormat="1" applyFont="1" applyFill="1" applyBorder="1" applyAlignment="1">
      <alignment horizontal="right"/>
    </xf>
    <xf numFmtId="173" fontId="12" fillId="0" borderId="0" xfId="15" applyNumberFormat="1" applyFont="1" applyFill="1" applyAlignment="1">
      <alignment horizontal="right"/>
    </xf>
    <xf numFmtId="0" fontId="0" fillId="0" borderId="0" xfId="0" applyAlignment="1">
      <alignment wrapText="1"/>
    </xf>
    <xf numFmtId="41" fontId="2" fillId="0" borderId="0" xfId="0" applyNumberFormat="1" applyFont="1" applyFill="1" applyBorder="1" applyAlignment="1">
      <alignment horizontal="right"/>
    </xf>
    <xf numFmtId="41" fontId="14" fillId="0" borderId="5" xfId="0" applyNumberFormat="1" applyFont="1" applyFill="1" applyBorder="1"/>
    <xf numFmtId="170" fontId="4" fillId="0" borderId="4" xfId="0" applyNumberFormat="1" applyFont="1" applyFill="1" applyBorder="1" applyAlignment="1">
      <alignment horizontal="right"/>
    </xf>
    <xf numFmtId="0" fontId="9" fillId="0" borderId="0" xfId="11" applyFill="1" applyBorder="1" applyAlignment="1" applyProtection="1"/>
    <xf numFmtId="0" fontId="0" fillId="0" borderId="0" xfId="0" applyAlignment="1"/>
    <xf numFmtId="0" fontId="36" fillId="0" borderId="0" xfId="14" applyFont="1" applyBorder="1" applyAlignment="1"/>
    <xf numFmtId="0" fontId="2" fillId="0" borderId="0" xfId="14" applyFont="1" applyBorder="1" applyAlignment="1"/>
    <xf numFmtId="0" fontId="0" fillId="0" borderId="0" xfId="0" applyAlignment="1">
      <alignment wrapText="1"/>
    </xf>
    <xf numFmtId="0" fontId="82" fillId="0" borderId="0" xfId="14" applyFont="1" applyFill="1" applyBorder="1" applyAlignment="1">
      <alignment vertical="center"/>
    </xf>
    <xf numFmtId="0" fontId="36" fillId="0" borderId="0" xfId="14" applyFont="1" applyFill="1" applyBorder="1" applyAlignment="1"/>
    <xf numFmtId="0" fontId="82" fillId="0" borderId="0" xfId="14" applyFont="1" applyFill="1" applyBorder="1" applyAlignment="1"/>
    <xf numFmtId="0" fontId="2" fillId="0" borderId="0" xfId="14" applyFont="1" applyFill="1" applyBorder="1" applyAlignment="1"/>
    <xf numFmtId="0" fontId="2" fillId="0" borderId="0" xfId="14" applyFont="1" applyBorder="1" applyAlignment="1">
      <alignment wrapText="1"/>
    </xf>
    <xf numFmtId="0" fontId="36" fillId="0" borderId="0" xfId="14" applyFont="1" applyFill="1" applyBorder="1" applyAlignment="1">
      <alignment vertical="center"/>
    </xf>
    <xf numFmtId="0" fontId="70" fillId="3" borderId="0" xfId="0" applyFont="1" applyFill="1" applyAlignment="1"/>
    <xf numFmtId="0" fontId="82" fillId="3" borderId="0" xfId="0" applyFont="1" applyFill="1" applyAlignment="1">
      <alignment vertical="center"/>
    </xf>
    <xf numFmtId="0" fontId="6" fillId="3" borderId="0" xfId="0" applyFont="1" applyFill="1" applyAlignment="1">
      <alignment vertical="center"/>
    </xf>
    <xf numFmtId="0" fontId="4" fillId="3" borderId="0" xfId="0" applyFont="1" applyFill="1" applyAlignment="1">
      <alignment vertical="top"/>
    </xf>
    <xf numFmtId="0" fontId="2" fillId="3" borderId="0" xfId="0" applyFont="1" applyFill="1" applyAlignment="1">
      <alignment vertical="center"/>
    </xf>
    <xf numFmtId="0" fontId="0" fillId="3" borderId="0" xfId="0" applyFill="1" applyAlignment="1">
      <alignment vertical="center"/>
    </xf>
    <xf numFmtId="0" fontId="2" fillId="0" borderId="0" xfId="0" applyFont="1" applyFill="1" applyBorder="1" applyAlignment="1">
      <alignment vertical="center"/>
    </xf>
    <xf numFmtId="0" fontId="2" fillId="6" borderId="14" xfId="0" applyFont="1" applyFill="1" applyBorder="1" applyAlignment="1">
      <alignment vertical="center" wrapText="1"/>
    </xf>
    <xf numFmtId="0" fontId="2" fillId="6" borderId="3" xfId="0" applyFont="1" applyFill="1" applyBorder="1" applyAlignment="1">
      <alignment vertical="center" wrapText="1"/>
    </xf>
    <xf numFmtId="0" fontId="2" fillId="6" borderId="15" xfId="0" applyFont="1" applyFill="1" applyBorder="1" applyAlignment="1">
      <alignment vertical="center" wrapText="1"/>
    </xf>
    <xf numFmtId="0" fontId="2" fillId="6" borderId="7" xfId="0" applyFont="1" applyFill="1" applyBorder="1" applyAlignment="1">
      <alignment vertical="center" wrapText="1"/>
    </xf>
    <xf numFmtId="0" fontId="2" fillId="6" borderId="0" xfId="0" applyFont="1" applyFill="1" applyBorder="1" applyAlignment="1">
      <alignment vertical="center" wrapText="1"/>
    </xf>
    <xf numFmtId="0" fontId="2" fillId="6" borderId="8" xfId="0" applyFont="1" applyFill="1" applyBorder="1" applyAlignment="1">
      <alignment vertical="center" wrapText="1"/>
    </xf>
    <xf numFmtId="0" fontId="2" fillId="0" borderId="0" xfId="0" applyFont="1" applyFill="1" applyAlignment="1">
      <alignment vertical="center"/>
    </xf>
    <xf numFmtId="0" fontId="3" fillId="2" borderId="0" xfId="0" applyFont="1" applyFill="1" applyAlignment="1">
      <alignment vertical="center"/>
    </xf>
    <xf numFmtId="0" fontId="0" fillId="2" borderId="0" xfId="0" applyFill="1" applyAlignment="1">
      <alignment vertical="center"/>
    </xf>
    <xf numFmtId="173" fontId="2" fillId="2" borderId="3" xfId="15" applyNumberFormat="1" applyFont="1" applyFill="1" applyBorder="1" applyAlignment="1">
      <alignment vertical="center"/>
    </xf>
    <xf numFmtId="173" fontId="2" fillId="2" borderId="6" xfId="15" applyNumberFormat="1" applyFont="1" applyFill="1" applyBorder="1" applyAlignment="1">
      <alignment vertical="center"/>
    </xf>
    <xf numFmtId="0" fontId="21" fillId="0" borderId="0" xfId="16" applyFont="1" applyFill="1" applyAlignment="1"/>
    <xf numFmtId="0" fontId="54" fillId="0" borderId="0" xfId="16" applyFont="1" applyFill="1" applyAlignment="1"/>
    <xf numFmtId="0" fontId="50" fillId="0" borderId="0" xfId="16" applyFont="1" applyAlignment="1">
      <alignment horizontal="left" wrapText="1"/>
    </xf>
    <xf numFmtId="0" fontId="50" fillId="0" borderId="0" xfId="16" applyFont="1" applyAlignment="1"/>
    <xf numFmtId="0" fontId="41" fillId="0" borderId="0" xfId="16" applyFont="1" applyAlignment="1"/>
    <xf numFmtId="0" fontId="61" fillId="0" borderId="0" xfId="16" applyFont="1" applyAlignment="1">
      <alignment horizontal="left"/>
    </xf>
    <xf numFmtId="0" fontId="62" fillId="0" borderId="0" xfId="16" applyFont="1" applyAlignment="1">
      <alignment horizontal="left"/>
    </xf>
    <xf numFmtId="0" fontId="50" fillId="0" borderId="0" xfId="16" applyFont="1" applyAlignment="1">
      <alignment wrapText="1"/>
    </xf>
    <xf numFmtId="0" fontId="0" fillId="0" borderId="0" xfId="0" applyAlignment="1">
      <alignment wrapText="1"/>
    </xf>
    <xf numFmtId="0" fontId="21" fillId="0" borderId="0" xfId="16" applyFont="1" applyAlignment="1">
      <alignment wrapText="1"/>
    </xf>
    <xf numFmtId="0" fontId="21" fillId="0" borderId="0" xfId="16" applyFont="1" applyAlignment="1">
      <alignment horizontal="left" wrapText="1"/>
    </xf>
    <xf numFmtId="0" fontId="21" fillId="0" borderId="0" xfId="0" applyFont="1" applyAlignment="1">
      <alignment horizontal="left" wrapText="1"/>
    </xf>
    <xf numFmtId="0" fontId="74" fillId="0" borderId="0" xfId="0" applyFont="1" applyAlignment="1">
      <alignment horizontal="left" wrapText="1"/>
    </xf>
    <xf numFmtId="0" fontId="57" fillId="0" borderId="0" xfId="16" applyFont="1" applyAlignment="1">
      <alignment horizontal="left" wrapText="1"/>
    </xf>
    <xf numFmtId="0" fontId="53" fillId="0" borderId="0" xfId="16" applyFont="1" applyFill="1" applyAlignment="1"/>
    <xf numFmtId="0" fontId="21" fillId="0" borderId="0" xfId="14" applyFont="1" applyAlignment="1">
      <alignment horizontal="left" wrapText="1"/>
    </xf>
    <xf numFmtId="0" fontId="45" fillId="0" borderId="0" xfId="16" applyFont="1" applyAlignment="1">
      <alignment horizontal="left"/>
    </xf>
    <xf numFmtId="0" fontId="63" fillId="0" borderId="0" xfId="16" applyFont="1" applyAlignment="1">
      <alignment horizontal="left"/>
    </xf>
    <xf numFmtId="0" fontId="63" fillId="0" borderId="0" xfId="16" applyFont="1" applyAlignment="1"/>
    <xf numFmtId="0" fontId="57" fillId="0" borderId="0" xfId="16" applyFont="1" applyAlignment="1">
      <alignment wrapText="1"/>
    </xf>
    <xf numFmtId="0" fontId="2" fillId="0" borderId="0" xfId="0" applyFont="1" applyFill="1" applyAlignment="1">
      <alignment horizontal="left" wrapText="1"/>
    </xf>
    <xf numFmtId="0" fontId="4" fillId="0" borderId="0" xfId="0" applyNumberFormat="1" applyFont="1" applyAlignment="1">
      <alignment horizontal="left" wrapText="1"/>
    </xf>
    <xf numFmtId="0" fontId="2" fillId="0" borderId="0" xfId="0" applyFont="1" applyFill="1" applyAlignment="1">
      <alignment horizontal="left" vertical="top" wrapText="1"/>
    </xf>
    <xf numFmtId="0" fontId="14" fillId="0" borderId="0" xfId="0" applyFont="1" applyFill="1" applyAlignment="1">
      <alignment vertical="top" wrapText="1"/>
    </xf>
    <xf numFmtId="0" fontId="4" fillId="0" borderId="0" xfId="0" applyFont="1" applyFill="1" applyAlignment="1">
      <alignment vertical="top" wrapText="1"/>
    </xf>
    <xf numFmtId="0" fontId="0" fillId="5" borderId="0" xfId="0" applyFill="1" applyAlignment="1">
      <alignment horizontal="left" vertical="top" wrapText="1"/>
    </xf>
    <xf numFmtId="0" fontId="0" fillId="0" borderId="0" xfId="0" applyFill="1" applyAlignment="1">
      <alignment horizontal="left" wrapText="1"/>
    </xf>
    <xf numFmtId="0" fontId="2" fillId="0" borderId="0" xfId="0" applyFont="1" applyFill="1" applyAlignment="1">
      <alignment vertical="top" wrapText="1"/>
    </xf>
    <xf numFmtId="0" fontId="0" fillId="0" borderId="0" xfId="0" applyFill="1" applyAlignment="1">
      <alignment vertical="top" wrapText="1"/>
    </xf>
    <xf numFmtId="0" fontId="2" fillId="8" borderId="0" xfId="0" applyFont="1" applyFill="1" applyBorder="1" applyAlignment="1">
      <alignment horizontal="left" vertical="top" wrapText="1"/>
    </xf>
    <xf numFmtId="0" fontId="80" fillId="8" borderId="0" xfId="0" applyFont="1" applyFill="1" applyBorder="1" applyAlignment="1">
      <alignment horizontal="left" vertical="top" wrapText="1"/>
    </xf>
    <xf numFmtId="3" fontId="81" fillId="8" borderId="0" xfId="0" applyNumberFormat="1" applyFont="1" applyFill="1" applyBorder="1" applyAlignment="1">
      <alignment horizontal="center" wrapText="1"/>
    </xf>
    <xf numFmtId="0" fontId="2" fillId="0" borderId="0" xfId="17" applyFont="1" applyFill="1" applyAlignment="1">
      <alignment horizontal="left" vertical="top" wrapText="1"/>
    </xf>
    <xf numFmtId="0" fontId="77" fillId="0" borderId="0" xfId="0" applyFont="1" applyBorder="1" applyAlignment="1">
      <alignment horizontal="left"/>
    </xf>
  </cellXfs>
  <cellStyles count="25">
    <cellStyle name="Audit NZ" xfId="1"/>
    <cellStyle name="Comma" xfId="2" builtinId="3"/>
    <cellStyle name="Comma 2" xfId="3"/>
    <cellStyle name="Comma 2 2" xfId="4"/>
    <cellStyle name="Comma 3" xfId="5"/>
    <cellStyle name="Currency" xfId="6" builtinId="4"/>
    <cellStyle name="Currency 2" xfId="7"/>
    <cellStyle name="Footnote" xfId="8"/>
    <cellStyle name="FRxAmtStyle" xfId="9"/>
    <cellStyle name="Header" xfId="10"/>
    <cellStyle name="Hyperlink" xfId="11" builtinId="8"/>
    <cellStyle name="Hyperlink 2" xfId="12"/>
    <cellStyle name="Normal" xfId="0" builtinId="0"/>
    <cellStyle name="Normal 11" xfId="13"/>
    <cellStyle name="Normal 2" xfId="14"/>
    <cellStyle name="Normal 2 2" xfId="23"/>
    <cellStyle name="Normal 3" xfId="15"/>
    <cellStyle name="Normal 4" xfId="16"/>
    <cellStyle name="Normal 5" xfId="24"/>
    <cellStyle name="Normal_Notes" xfId="17"/>
    <cellStyle name="Normal_Rakumanga stmt April 08" xfId="18"/>
    <cellStyle name="Percent 2" xfId="19"/>
    <cellStyle name="Rowheader" xfId="20"/>
    <cellStyle name="Subheader" xfId="21"/>
    <cellStyle name="Totals" xfId="22"/>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LIBRARY\MOE\Model%20Financial%20Statements\Kiwi-Park-Model-2016-V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CWGTNDC02\homes\santjie\Desktop\Kiwi-Park-Financial-Dec-2015%20(11-Dec-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SCWGTNDC02\homes\kirstin\Desktop\Copy%20of%20952FS%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use the Kiwi Park Model "/>
      <sheetName val="Inputs"/>
      <sheetName val="Title Page"/>
      <sheetName val="Index Page"/>
      <sheetName val="Statement of Responsibility"/>
      <sheetName val="St of Comprehensive Rev. &amp; Exp."/>
      <sheetName val="St of Ch in net Assets &amp; Equity"/>
      <sheetName val="Statement of Financial Position"/>
      <sheetName val="Statement of Cash Flows"/>
      <sheetName val="St of Accounting Policies"/>
      <sheetName val="Notes &amp; Disclosures"/>
      <sheetName val="Guidance - General"/>
      <sheetName val="Guidance - Specific Disclosures"/>
      <sheetName val="Revenue Types"/>
      <sheetName val="Board FTE Calc"/>
      <sheetName val="Actual CF Model CY"/>
      <sheetName val="Budget CF Model CY"/>
      <sheetName val="Trial Balance Converter"/>
      <sheetName val="TB Converter - School TB"/>
      <sheetName val="Kiwi Park Data"/>
      <sheetName val="Sheet1"/>
    </sheetNames>
    <sheetDataSet>
      <sheetData sheetId="0" refreshError="1"/>
      <sheetData sheetId="1">
        <row r="3">
          <cell r="B3">
            <v>2016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use the Kiwipark Model "/>
      <sheetName val="Title Page"/>
      <sheetName val="Index Page"/>
      <sheetName val="Statement of Responsibility"/>
      <sheetName val="St of Comprehensive Rev. &amp; Exp."/>
      <sheetName val="St of Ch in net Assets &amp; Equity"/>
      <sheetName val="Statement of Financial Position"/>
      <sheetName val="Cashflow Statement"/>
      <sheetName val="St of Accounting Policies"/>
      <sheetName val="Notes &amp; Disclosures"/>
      <sheetName val="Actual CF Model 2015"/>
      <sheetName val="Budget CF Model 2015"/>
      <sheetName val="Actual CF Model 2014"/>
      <sheetName val="Trial Balance KP2015 Abridged"/>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02">
          <cell r="AC202">
            <v>0</v>
          </cell>
          <cell r="AK202">
            <v>0</v>
          </cell>
          <cell r="AM202">
            <v>0</v>
          </cell>
        </row>
      </sheetData>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Header"/>
      <sheetName val="Index Page"/>
      <sheetName val="Statement of Responsibility"/>
      <sheetName val="Comprehensive Income"/>
      <sheetName val="Equity"/>
      <sheetName val="Financial Position"/>
      <sheetName val="Cashflow Statement"/>
      <sheetName val="Notes 1"/>
      <sheetName val="Notes"/>
      <sheetName val="BOT"/>
      <sheetName val="Codes allocation"/>
      <sheetName val="Cashflow workpaper"/>
      <sheetName val="Payroll recon"/>
      <sheetName val="ESL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B1" t="str">
            <v>Code</v>
          </cell>
          <cell r="F1" t="str">
            <v>Budget</v>
          </cell>
          <cell r="H1" t="str">
            <v>LY_Actual</v>
          </cell>
        </row>
        <row r="2">
          <cell r="B2">
            <v>100</v>
          </cell>
          <cell r="F2">
            <v>0</v>
          </cell>
          <cell r="H2">
            <v>0</v>
          </cell>
        </row>
        <row r="3">
          <cell r="B3">
            <v>146</v>
          </cell>
          <cell r="F3">
            <v>0</v>
          </cell>
          <cell r="H3">
            <v>0</v>
          </cell>
        </row>
        <row r="4">
          <cell r="B4">
            <v>148</v>
          </cell>
          <cell r="F4">
            <v>0</v>
          </cell>
          <cell r="H4">
            <v>-37120</v>
          </cell>
        </row>
        <row r="5">
          <cell r="B5">
            <v>156</v>
          </cell>
          <cell r="F5">
            <v>0</v>
          </cell>
          <cell r="H5">
            <v>-4640</v>
          </cell>
        </row>
        <row r="6">
          <cell r="B6">
            <v>10000</v>
          </cell>
          <cell r="F6">
            <v>0</v>
          </cell>
          <cell r="H6">
            <v>0</v>
          </cell>
        </row>
        <row r="7">
          <cell r="B7">
            <v>10010</v>
          </cell>
          <cell r="F7">
            <v>-814288</v>
          </cell>
          <cell r="H7">
            <v>-825180.66</v>
          </cell>
        </row>
        <row r="8">
          <cell r="B8">
            <v>10011</v>
          </cell>
          <cell r="F8">
            <v>0</v>
          </cell>
          <cell r="H8">
            <v>-288850</v>
          </cell>
        </row>
        <row r="9">
          <cell r="B9">
            <v>10020</v>
          </cell>
          <cell r="F9">
            <v>-8960</v>
          </cell>
          <cell r="H9">
            <v>-8958.25</v>
          </cell>
        </row>
        <row r="10">
          <cell r="B10">
            <v>10050</v>
          </cell>
          <cell r="F10">
            <v>0</v>
          </cell>
          <cell r="H10">
            <v>0</v>
          </cell>
        </row>
        <row r="11">
          <cell r="B11">
            <v>10190</v>
          </cell>
          <cell r="F11">
            <v>-1767768</v>
          </cell>
          <cell r="H11">
            <v>-1767770.4</v>
          </cell>
        </row>
        <row r="12">
          <cell r="B12">
            <v>10200</v>
          </cell>
          <cell r="F12">
            <v>-162651</v>
          </cell>
          <cell r="H12">
            <v>-162651.24</v>
          </cell>
        </row>
        <row r="13">
          <cell r="B13">
            <v>10210</v>
          </cell>
          <cell r="F13">
            <v>-620677</v>
          </cell>
          <cell r="H13">
            <v>-620675.64</v>
          </cell>
        </row>
        <row r="14">
          <cell r="B14">
            <v>10240</v>
          </cell>
          <cell r="F14">
            <v>-644601</v>
          </cell>
          <cell r="H14">
            <v>-644601.72</v>
          </cell>
        </row>
        <row r="15">
          <cell r="B15">
            <v>10282</v>
          </cell>
          <cell r="F15">
            <v>-15282</v>
          </cell>
          <cell r="H15">
            <v>-15283.44</v>
          </cell>
        </row>
        <row r="16">
          <cell r="B16">
            <v>10283</v>
          </cell>
          <cell r="F16">
            <v>-797655</v>
          </cell>
          <cell r="H16">
            <v>-797655.6</v>
          </cell>
        </row>
        <row r="17">
          <cell r="B17">
            <v>10286</v>
          </cell>
          <cell r="F17">
            <v>0</v>
          </cell>
          <cell r="H17">
            <v>0</v>
          </cell>
        </row>
        <row r="18">
          <cell r="B18">
            <v>10287</v>
          </cell>
          <cell r="F18">
            <v>0</v>
          </cell>
          <cell r="H18">
            <v>0</v>
          </cell>
        </row>
        <row r="19">
          <cell r="B19">
            <v>10288</v>
          </cell>
          <cell r="F19">
            <v>-1036733</v>
          </cell>
          <cell r="H19">
            <v>-1055026.08</v>
          </cell>
        </row>
        <row r="20">
          <cell r="B20">
            <v>10289</v>
          </cell>
          <cell r="F20">
            <v>0</v>
          </cell>
          <cell r="H20">
            <v>0</v>
          </cell>
        </row>
        <row r="21">
          <cell r="B21">
            <v>10290</v>
          </cell>
          <cell r="F21">
            <v>-8370000</v>
          </cell>
          <cell r="H21">
            <v>-8632083.6099999994</v>
          </cell>
        </row>
        <row r="22">
          <cell r="B22">
            <v>10299</v>
          </cell>
          <cell r="F22">
            <v>0</v>
          </cell>
          <cell r="H22">
            <v>0</v>
          </cell>
        </row>
        <row r="23">
          <cell r="B23">
            <v>10300</v>
          </cell>
          <cell r="F23">
            <v>-476661</v>
          </cell>
          <cell r="H23">
            <v>-448748.39</v>
          </cell>
        </row>
        <row r="24">
          <cell r="B24">
            <v>10310</v>
          </cell>
          <cell r="F24">
            <v>-104096</v>
          </cell>
          <cell r="H24">
            <v>-104096.4</v>
          </cell>
        </row>
        <row r="25">
          <cell r="B25">
            <v>10315</v>
          </cell>
          <cell r="F25">
            <v>-291542</v>
          </cell>
          <cell r="H25">
            <v>-301975.56</v>
          </cell>
        </row>
        <row r="26">
          <cell r="B26">
            <v>10316</v>
          </cell>
          <cell r="F26">
            <v>-176653</v>
          </cell>
          <cell r="H26">
            <v>-176653.08</v>
          </cell>
        </row>
        <row r="27">
          <cell r="B27">
            <v>10317</v>
          </cell>
          <cell r="F27">
            <v>0</v>
          </cell>
          <cell r="H27">
            <v>0</v>
          </cell>
        </row>
        <row r="28">
          <cell r="B28">
            <v>10318</v>
          </cell>
          <cell r="F28">
            <v>-170922</v>
          </cell>
          <cell r="H28">
            <v>-170921.64</v>
          </cell>
        </row>
        <row r="29">
          <cell r="B29">
            <v>10320</v>
          </cell>
          <cell r="F29">
            <v>0</v>
          </cell>
          <cell r="H29">
            <v>0</v>
          </cell>
        </row>
        <row r="30">
          <cell r="B30">
            <v>10399</v>
          </cell>
          <cell r="F30">
            <v>0</v>
          </cell>
          <cell r="H30">
            <v>0</v>
          </cell>
        </row>
        <row r="31">
          <cell r="B31">
            <v>10400</v>
          </cell>
          <cell r="F31">
            <v>-18896</v>
          </cell>
          <cell r="H31">
            <v>-43940.57</v>
          </cell>
        </row>
        <row r="32">
          <cell r="B32">
            <v>10405</v>
          </cell>
          <cell r="F32">
            <v>-18750</v>
          </cell>
          <cell r="H32">
            <v>-4308.7</v>
          </cell>
        </row>
        <row r="33">
          <cell r="B33">
            <v>10410</v>
          </cell>
          <cell r="F33">
            <v>0</v>
          </cell>
          <cell r="H33">
            <v>-19463.14</v>
          </cell>
        </row>
        <row r="34">
          <cell r="B34">
            <v>10420</v>
          </cell>
          <cell r="F34">
            <v>0</v>
          </cell>
          <cell r="H34">
            <v>0</v>
          </cell>
        </row>
        <row r="35">
          <cell r="B35">
            <v>10430</v>
          </cell>
          <cell r="F35">
            <v>-18830</v>
          </cell>
          <cell r="H35">
            <v>-18829.62</v>
          </cell>
        </row>
        <row r="36">
          <cell r="B36">
            <v>10440</v>
          </cell>
          <cell r="F36">
            <v>0</v>
          </cell>
          <cell r="H36">
            <v>0</v>
          </cell>
        </row>
        <row r="37">
          <cell r="B37">
            <v>10450</v>
          </cell>
          <cell r="F37">
            <v>0</v>
          </cell>
          <cell r="H37">
            <v>0</v>
          </cell>
        </row>
        <row r="38">
          <cell r="B38">
            <v>10529</v>
          </cell>
          <cell r="F38">
            <v>0</v>
          </cell>
          <cell r="H38">
            <v>0</v>
          </cell>
        </row>
        <row r="39">
          <cell r="B39">
            <v>10530</v>
          </cell>
          <cell r="F39">
            <v>-140000</v>
          </cell>
          <cell r="H39">
            <v>-229862.37</v>
          </cell>
        </row>
        <row r="40">
          <cell r="B40">
            <v>10600</v>
          </cell>
          <cell r="F40">
            <v>0</v>
          </cell>
          <cell r="H40">
            <v>0</v>
          </cell>
        </row>
        <row r="41">
          <cell r="B41">
            <v>10601</v>
          </cell>
          <cell r="F41">
            <v>0</v>
          </cell>
          <cell r="H41">
            <v>0</v>
          </cell>
        </row>
        <row r="42">
          <cell r="B42">
            <v>10640</v>
          </cell>
          <cell r="F42">
            <v>-100</v>
          </cell>
          <cell r="H42">
            <v>-150</v>
          </cell>
        </row>
        <row r="43">
          <cell r="B43">
            <v>10660</v>
          </cell>
          <cell r="F43">
            <v>-250</v>
          </cell>
          <cell r="H43">
            <v>-22300</v>
          </cell>
        </row>
        <row r="44">
          <cell r="B44">
            <v>10700</v>
          </cell>
          <cell r="F44">
            <v>0</v>
          </cell>
          <cell r="H44">
            <v>0</v>
          </cell>
        </row>
        <row r="45">
          <cell r="B45">
            <v>10710</v>
          </cell>
          <cell r="F45">
            <v>-150</v>
          </cell>
          <cell r="H45">
            <v>-738.05</v>
          </cell>
        </row>
        <row r="46">
          <cell r="B46">
            <v>10800</v>
          </cell>
          <cell r="F46">
            <v>0</v>
          </cell>
          <cell r="H46">
            <v>0</v>
          </cell>
        </row>
        <row r="47">
          <cell r="B47">
            <v>10801</v>
          </cell>
          <cell r="F47">
            <v>0</v>
          </cell>
          <cell r="H47">
            <v>0</v>
          </cell>
        </row>
        <row r="48">
          <cell r="B48">
            <v>10850</v>
          </cell>
          <cell r="F48">
            <v>0</v>
          </cell>
          <cell r="H48">
            <v>0</v>
          </cell>
        </row>
        <row r="49">
          <cell r="B49">
            <v>10890</v>
          </cell>
          <cell r="F49">
            <v>-27000</v>
          </cell>
          <cell r="H49">
            <v>-31941</v>
          </cell>
        </row>
        <row r="50">
          <cell r="B50">
            <v>10895</v>
          </cell>
          <cell r="F50">
            <v>0</v>
          </cell>
          <cell r="H50">
            <v>0</v>
          </cell>
        </row>
        <row r="51">
          <cell r="B51">
            <v>10900</v>
          </cell>
          <cell r="F51">
            <v>-22000</v>
          </cell>
          <cell r="H51">
            <v>-7452.7</v>
          </cell>
        </row>
        <row r="52">
          <cell r="B52">
            <v>10901</v>
          </cell>
          <cell r="F52">
            <v>0</v>
          </cell>
          <cell r="H52">
            <v>0</v>
          </cell>
        </row>
        <row r="53">
          <cell r="B53">
            <v>10902</v>
          </cell>
          <cell r="F53">
            <v>170922</v>
          </cell>
          <cell r="H53">
            <v>170972</v>
          </cell>
        </row>
        <row r="54">
          <cell r="B54">
            <v>10903</v>
          </cell>
          <cell r="F54">
            <v>0</v>
          </cell>
          <cell r="H54">
            <v>0</v>
          </cell>
        </row>
        <row r="55">
          <cell r="B55">
            <v>10990</v>
          </cell>
          <cell r="F55">
            <v>0</v>
          </cell>
          <cell r="H55">
            <v>0</v>
          </cell>
        </row>
        <row r="56">
          <cell r="B56">
            <v>1597</v>
          </cell>
          <cell r="F56">
            <v>6241</v>
          </cell>
          <cell r="H56">
            <v>3667.61</v>
          </cell>
        </row>
        <row r="57">
          <cell r="B57">
            <v>1900</v>
          </cell>
          <cell r="F57">
            <v>-1581057</v>
          </cell>
          <cell r="H57">
            <v>-1237863.8799999999</v>
          </cell>
        </row>
        <row r="58">
          <cell r="B58">
            <v>1905</v>
          </cell>
          <cell r="F58">
            <v>1581057</v>
          </cell>
          <cell r="H58">
            <v>1237863.8799999999</v>
          </cell>
        </row>
        <row r="59">
          <cell r="B59">
            <v>1999</v>
          </cell>
          <cell r="F59">
            <v>0</v>
          </cell>
          <cell r="H59">
            <v>37120</v>
          </cell>
        </row>
        <row r="60">
          <cell r="B60">
            <v>20999</v>
          </cell>
          <cell r="F60">
            <v>0</v>
          </cell>
          <cell r="H60">
            <v>0</v>
          </cell>
        </row>
        <row r="61">
          <cell r="B61">
            <v>21000</v>
          </cell>
          <cell r="F61">
            <v>-150</v>
          </cell>
          <cell r="H61">
            <v>-358.7</v>
          </cell>
        </row>
        <row r="62">
          <cell r="B62">
            <v>21100</v>
          </cell>
          <cell r="F62">
            <v>0</v>
          </cell>
          <cell r="H62">
            <v>0</v>
          </cell>
        </row>
        <row r="63">
          <cell r="B63">
            <v>21110</v>
          </cell>
          <cell r="F63">
            <v>0</v>
          </cell>
          <cell r="H63">
            <v>0</v>
          </cell>
        </row>
        <row r="64">
          <cell r="B64">
            <v>21170</v>
          </cell>
          <cell r="F64">
            <v>0</v>
          </cell>
          <cell r="H64">
            <v>0</v>
          </cell>
        </row>
        <row r="65">
          <cell r="B65">
            <v>21800</v>
          </cell>
          <cell r="F65">
            <v>0</v>
          </cell>
          <cell r="H65">
            <v>0</v>
          </cell>
        </row>
        <row r="66">
          <cell r="B66">
            <v>21900</v>
          </cell>
          <cell r="F66">
            <v>0</v>
          </cell>
          <cell r="H66">
            <v>0</v>
          </cell>
        </row>
        <row r="67">
          <cell r="B67">
            <v>22000</v>
          </cell>
          <cell r="F67">
            <v>-1000</v>
          </cell>
          <cell r="H67">
            <v>-1721.61</v>
          </cell>
        </row>
        <row r="68">
          <cell r="B68">
            <v>22100</v>
          </cell>
          <cell r="F68">
            <v>1000</v>
          </cell>
          <cell r="H68">
            <v>1421.73</v>
          </cell>
        </row>
        <row r="69">
          <cell r="B69">
            <v>22200</v>
          </cell>
          <cell r="F69">
            <v>0</v>
          </cell>
          <cell r="H69">
            <v>-295.64999999999998</v>
          </cell>
        </row>
        <row r="70">
          <cell r="B70">
            <v>22300</v>
          </cell>
          <cell r="F70">
            <v>0</v>
          </cell>
          <cell r="H70">
            <v>4044.69</v>
          </cell>
        </row>
        <row r="71">
          <cell r="B71">
            <v>22400</v>
          </cell>
          <cell r="F71">
            <v>-350</v>
          </cell>
          <cell r="H71">
            <v>-333.9</v>
          </cell>
        </row>
        <row r="72">
          <cell r="B72">
            <v>22500</v>
          </cell>
          <cell r="F72">
            <v>0</v>
          </cell>
          <cell r="H72">
            <v>0</v>
          </cell>
        </row>
        <row r="73">
          <cell r="B73">
            <v>23000</v>
          </cell>
          <cell r="F73">
            <v>0</v>
          </cell>
          <cell r="H73">
            <v>0</v>
          </cell>
        </row>
        <row r="74">
          <cell r="B74">
            <v>23200</v>
          </cell>
          <cell r="F74">
            <v>-20000</v>
          </cell>
          <cell r="H74">
            <v>-19101.32</v>
          </cell>
        </row>
        <row r="75">
          <cell r="B75">
            <v>23300</v>
          </cell>
          <cell r="F75">
            <v>7000</v>
          </cell>
          <cell r="H75">
            <v>9457.26</v>
          </cell>
        </row>
        <row r="76">
          <cell r="B76">
            <v>23400</v>
          </cell>
          <cell r="F76">
            <v>-4500</v>
          </cell>
          <cell r="H76">
            <v>-9633.65</v>
          </cell>
        </row>
        <row r="77">
          <cell r="B77">
            <v>23500</v>
          </cell>
          <cell r="F77">
            <v>0</v>
          </cell>
          <cell r="H77">
            <v>563.73</v>
          </cell>
        </row>
        <row r="78">
          <cell r="B78">
            <v>23600</v>
          </cell>
          <cell r="F78">
            <v>0</v>
          </cell>
          <cell r="H78">
            <v>0</v>
          </cell>
        </row>
        <row r="79">
          <cell r="B79">
            <v>23700</v>
          </cell>
          <cell r="F79">
            <v>0</v>
          </cell>
          <cell r="H79">
            <v>0</v>
          </cell>
        </row>
        <row r="80">
          <cell r="B80">
            <v>24000</v>
          </cell>
          <cell r="F80">
            <v>0</v>
          </cell>
          <cell r="H80">
            <v>0</v>
          </cell>
        </row>
        <row r="81">
          <cell r="B81">
            <v>24100</v>
          </cell>
          <cell r="F81">
            <v>0</v>
          </cell>
          <cell r="H81">
            <v>0</v>
          </cell>
        </row>
        <row r="82">
          <cell r="B82">
            <v>24200</v>
          </cell>
          <cell r="F82">
            <v>-1000</v>
          </cell>
          <cell r="H82">
            <v>-2466.7199999999998</v>
          </cell>
        </row>
        <row r="83">
          <cell r="B83">
            <v>24300</v>
          </cell>
          <cell r="F83">
            <v>1000</v>
          </cell>
          <cell r="H83">
            <v>1101.8499999999999</v>
          </cell>
        </row>
        <row r="84">
          <cell r="B84">
            <v>24400</v>
          </cell>
          <cell r="F84">
            <v>-7148</v>
          </cell>
          <cell r="H84">
            <v>-33491.97</v>
          </cell>
        </row>
        <row r="85">
          <cell r="B85">
            <v>24500</v>
          </cell>
          <cell r="F85">
            <v>7148</v>
          </cell>
          <cell r="H85">
            <v>21817.97</v>
          </cell>
        </row>
        <row r="86">
          <cell r="B86">
            <v>24600</v>
          </cell>
          <cell r="F86">
            <v>0</v>
          </cell>
          <cell r="H86">
            <v>0</v>
          </cell>
        </row>
        <row r="87">
          <cell r="B87">
            <v>24650</v>
          </cell>
          <cell r="F87">
            <v>0</v>
          </cell>
          <cell r="H87">
            <v>38948.78</v>
          </cell>
        </row>
        <row r="88">
          <cell r="B88">
            <v>24700</v>
          </cell>
          <cell r="F88">
            <v>0</v>
          </cell>
          <cell r="H88">
            <v>0</v>
          </cell>
        </row>
        <row r="89">
          <cell r="B89">
            <v>24750</v>
          </cell>
          <cell r="F89">
            <v>0</v>
          </cell>
          <cell r="H89">
            <v>0</v>
          </cell>
        </row>
        <row r="90">
          <cell r="B90">
            <v>24800</v>
          </cell>
          <cell r="F90">
            <v>0</v>
          </cell>
          <cell r="H90">
            <v>0</v>
          </cell>
        </row>
        <row r="91">
          <cell r="B91">
            <v>24801</v>
          </cell>
          <cell r="F91">
            <v>0</v>
          </cell>
          <cell r="H91">
            <v>0</v>
          </cell>
        </row>
        <row r="92">
          <cell r="B92">
            <v>24802</v>
          </cell>
          <cell r="F92">
            <v>-1500</v>
          </cell>
          <cell r="H92">
            <v>-1906.06</v>
          </cell>
        </row>
        <row r="93">
          <cell r="B93">
            <v>24803</v>
          </cell>
          <cell r="F93">
            <v>1500</v>
          </cell>
          <cell r="H93">
            <v>74</v>
          </cell>
        </row>
        <row r="94">
          <cell r="B94">
            <v>24820</v>
          </cell>
          <cell r="F94">
            <v>-1000</v>
          </cell>
          <cell r="H94">
            <v>0</v>
          </cell>
        </row>
        <row r="95">
          <cell r="B95">
            <v>24821</v>
          </cell>
          <cell r="F95">
            <v>1000</v>
          </cell>
          <cell r="H95">
            <v>126.6</v>
          </cell>
        </row>
        <row r="96">
          <cell r="B96">
            <v>24830</v>
          </cell>
          <cell r="F96">
            <v>-14295</v>
          </cell>
          <cell r="H96">
            <v>-24203.45</v>
          </cell>
        </row>
        <row r="97">
          <cell r="B97">
            <v>24831</v>
          </cell>
          <cell r="F97">
            <v>14295</v>
          </cell>
          <cell r="H97">
            <v>17367.91</v>
          </cell>
        </row>
        <row r="98">
          <cell r="B98">
            <v>24840</v>
          </cell>
          <cell r="F98">
            <v>-750</v>
          </cell>
          <cell r="H98">
            <v>-983.75</v>
          </cell>
        </row>
        <row r="99">
          <cell r="B99">
            <v>24841</v>
          </cell>
          <cell r="F99">
            <v>750</v>
          </cell>
          <cell r="H99">
            <v>-3525.96</v>
          </cell>
        </row>
        <row r="100">
          <cell r="B100">
            <v>24850</v>
          </cell>
          <cell r="F100">
            <v>-1800</v>
          </cell>
          <cell r="H100">
            <v>-969.86</v>
          </cell>
        </row>
        <row r="101">
          <cell r="B101">
            <v>24851</v>
          </cell>
          <cell r="F101">
            <v>1800</v>
          </cell>
          <cell r="H101">
            <v>1183.51</v>
          </cell>
        </row>
        <row r="102">
          <cell r="B102">
            <v>24860</v>
          </cell>
          <cell r="F102">
            <v>0</v>
          </cell>
          <cell r="H102">
            <v>-7288.33</v>
          </cell>
        </row>
        <row r="103">
          <cell r="B103">
            <v>24861</v>
          </cell>
          <cell r="F103">
            <v>0</v>
          </cell>
          <cell r="H103">
            <v>2554.87</v>
          </cell>
        </row>
        <row r="104">
          <cell r="B104">
            <v>24870</v>
          </cell>
          <cell r="F104">
            <v>-14713</v>
          </cell>
          <cell r="H104">
            <v>-5368.76</v>
          </cell>
        </row>
        <row r="105">
          <cell r="B105">
            <v>24871</v>
          </cell>
          <cell r="F105">
            <v>14295</v>
          </cell>
          <cell r="H105">
            <v>819.68</v>
          </cell>
        </row>
        <row r="106">
          <cell r="B106">
            <v>24880</v>
          </cell>
          <cell r="F106">
            <v>-14295</v>
          </cell>
          <cell r="H106">
            <v>-15651.21</v>
          </cell>
        </row>
        <row r="107">
          <cell r="B107">
            <v>24881</v>
          </cell>
          <cell r="F107">
            <v>14295</v>
          </cell>
          <cell r="H107">
            <v>10763.69</v>
          </cell>
        </row>
        <row r="108">
          <cell r="B108">
            <v>24890</v>
          </cell>
          <cell r="F108">
            <v>-12734</v>
          </cell>
          <cell r="H108">
            <v>-12584.72</v>
          </cell>
        </row>
        <row r="109">
          <cell r="B109">
            <v>24891</v>
          </cell>
          <cell r="F109">
            <v>12734</v>
          </cell>
          <cell r="H109">
            <v>15412.33</v>
          </cell>
        </row>
        <row r="110">
          <cell r="B110">
            <v>24900</v>
          </cell>
          <cell r="F110">
            <v>-15091</v>
          </cell>
          <cell r="H110">
            <v>-12447.34</v>
          </cell>
        </row>
        <row r="111">
          <cell r="B111">
            <v>24901</v>
          </cell>
          <cell r="F111">
            <v>15091</v>
          </cell>
          <cell r="H111">
            <v>20363.47</v>
          </cell>
        </row>
        <row r="112">
          <cell r="B112">
            <v>25100</v>
          </cell>
          <cell r="F112">
            <v>-129132</v>
          </cell>
          <cell r="H112">
            <v>0</v>
          </cell>
        </row>
        <row r="113">
          <cell r="B113">
            <v>25150</v>
          </cell>
          <cell r="F113">
            <v>129132</v>
          </cell>
          <cell r="H113">
            <v>0</v>
          </cell>
        </row>
        <row r="114">
          <cell r="B114">
            <v>2900</v>
          </cell>
          <cell r="F114">
            <v>0</v>
          </cell>
          <cell r="H114">
            <v>0</v>
          </cell>
        </row>
        <row r="115">
          <cell r="B115">
            <v>2910</v>
          </cell>
          <cell r="F115">
            <v>303203</v>
          </cell>
          <cell r="H115">
            <v>372620.19</v>
          </cell>
        </row>
        <row r="116">
          <cell r="B116">
            <v>2920</v>
          </cell>
          <cell r="F116">
            <v>0</v>
          </cell>
          <cell r="H116">
            <v>7504.83</v>
          </cell>
        </row>
        <row r="117">
          <cell r="B117">
            <v>2930</v>
          </cell>
          <cell r="F117">
            <v>0</v>
          </cell>
          <cell r="H117">
            <v>-304.35000000000002</v>
          </cell>
        </row>
        <row r="118">
          <cell r="B118">
            <v>2990</v>
          </cell>
          <cell r="F118">
            <v>0</v>
          </cell>
          <cell r="H118">
            <v>0</v>
          </cell>
        </row>
        <row r="119">
          <cell r="B119">
            <v>30100</v>
          </cell>
          <cell r="F119">
            <v>4000</v>
          </cell>
          <cell r="H119">
            <v>4394.17</v>
          </cell>
        </row>
        <row r="120">
          <cell r="B120">
            <v>30120</v>
          </cell>
          <cell r="F120">
            <v>0</v>
          </cell>
          <cell r="H120">
            <v>0</v>
          </cell>
        </row>
        <row r="121">
          <cell r="B121">
            <v>30230</v>
          </cell>
          <cell r="F121">
            <v>1000</v>
          </cell>
          <cell r="H121">
            <v>631.92999999999995</v>
          </cell>
        </row>
        <row r="122">
          <cell r="B122">
            <v>30240</v>
          </cell>
          <cell r="F122">
            <v>1000</v>
          </cell>
          <cell r="H122">
            <v>703.48</v>
          </cell>
        </row>
        <row r="123">
          <cell r="B123">
            <v>30250</v>
          </cell>
          <cell r="F123">
            <v>2000</v>
          </cell>
          <cell r="H123">
            <v>2089.2399999999998</v>
          </cell>
        </row>
        <row r="124">
          <cell r="B124">
            <v>30330</v>
          </cell>
          <cell r="F124">
            <v>26213</v>
          </cell>
          <cell r="H124">
            <v>55039.65</v>
          </cell>
        </row>
        <row r="125">
          <cell r="B125">
            <v>30331</v>
          </cell>
          <cell r="F125">
            <v>0</v>
          </cell>
          <cell r="H125">
            <v>0</v>
          </cell>
        </row>
        <row r="126">
          <cell r="B126">
            <v>30350</v>
          </cell>
          <cell r="F126">
            <v>36632</v>
          </cell>
          <cell r="H126">
            <v>33981.919999999998</v>
          </cell>
        </row>
        <row r="127">
          <cell r="B127">
            <v>30380</v>
          </cell>
          <cell r="F127">
            <v>8370000</v>
          </cell>
          <cell r="H127">
            <v>8632083.6099999994</v>
          </cell>
        </row>
        <row r="128">
          <cell r="B128">
            <v>30385</v>
          </cell>
          <cell r="F128">
            <v>0</v>
          </cell>
          <cell r="H128">
            <v>0</v>
          </cell>
        </row>
        <row r="129">
          <cell r="B129">
            <v>30390</v>
          </cell>
          <cell r="F129">
            <v>18896</v>
          </cell>
          <cell r="H129">
            <v>16880.91</v>
          </cell>
        </row>
        <row r="130">
          <cell r="B130">
            <v>30395</v>
          </cell>
          <cell r="F130">
            <v>2000</v>
          </cell>
          <cell r="H130">
            <v>0</v>
          </cell>
        </row>
        <row r="131">
          <cell r="B131">
            <v>30400</v>
          </cell>
          <cell r="F131">
            <v>4000</v>
          </cell>
          <cell r="H131">
            <v>5572.85</v>
          </cell>
        </row>
        <row r="132">
          <cell r="B132">
            <v>30401</v>
          </cell>
          <cell r="F132">
            <v>0</v>
          </cell>
          <cell r="H132">
            <v>0</v>
          </cell>
        </row>
        <row r="133">
          <cell r="B133">
            <v>30520</v>
          </cell>
          <cell r="F133">
            <v>0</v>
          </cell>
          <cell r="H133">
            <v>0</v>
          </cell>
        </row>
        <row r="134">
          <cell r="B134">
            <v>30521</v>
          </cell>
          <cell r="F134">
            <v>8000</v>
          </cell>
          <cell r="H134">
            <v>7209.06</v>
          </cell>
        </row>
        <row r="135">
          <cell r="B135">
            <v>30522</v>
          </cell>
          <cell r="F135">
            <v>0</v>
          </cell>
          <cell r="H135">
            <v>312.52</v>
          </cell>
        </row>
        <row r="136">
          <cell r="B136">
            <v>30525</v>
          </cell>
          <cell r="F136">
            <v>3500</v>
          </cell>
          <cell r="H136">
            <v>1890.55</v>
          </cell>
        </row>
        <row r="137">
          <cell r="B137">
            <v>30530</v>
          </cell>
          <cell r="F137">
            <v>0</v>
          </cell>
          <cell r="H137">
            <v>0</v>
          </cell>
        </row>
        <row r="138">
          <cell r="B138">
            <v>30570</v>
          </cell>
          <cell r="F138">
            <v>2500</v>
          </cell>
          <cell r="H138">
            <v>2859.58</v>
          </cell>
        </row>
        <row r="139">
          <cell r="B139">
            <v>30600</v>
          </cell>
          <cell r="F139">
            <v>2000</v>
          </cell>
          <cell r="H139">
            <v>2625.19</v>
          </cell>
        </row>
        <row r="140">
          <cell r="B140">
            <v>30610</v>
          </cell>
          <cell r="F140">
            <v>16860</v>
          </cell>
          <cell r="H140">
            <v>4351.3100000000004</v>
          </cell>
        </row>
        <row r="141">
          <cell r="B141">
            <v>30660</v>
          </cell>
          <cell r="F141">
            <v>3671</v>
          </cell>
          <cell r="H141">
            <v>619.66999999999996</v>
          </cell>
        </row>
        <row r="142">
          <cell r="B142">
            <v>30690</v>
          </cell>
          <cell r="F142">
            <v>0</v>
          </cell>
          <cell r="H142">
            <v>23373.040000000001</v>
          </cell>
        </row>
        <row r="143">
          <cell r="B143">
            <v>30691</v>
          </cell>
          <cell r="F143">
            <v>0</v>
          </cell>
          <cell r="H143">
            <v>0</v>
          </cell>
        </row>
        <row r="144">
          <cell r="B144">
            <v>30695</v>
          </cell>
          <cell r="F144">
            <v>1000</v>
          </cell>
          <cell r="H144">
            <v>3351.57</v>
          </cell>
        </row>
        <row r="145">
          <cell r="B145">
            <v>30700</v>
          </cell>
          <cell r="F145">
            <v>1200</v>
          </cell>
          <cell r="H145">
            <v>1402.35</v>
          </cell>
        </row>
        <row r="146">
          <cell r="B146">
            <v>30705</v>
          </cell>
          <cell r="F146">
            <v>350</v>
          </cell>
          <cell r="H146">
            <v>290.52</v>
          </cell>
        </row>
        <row r="147">
          <cell r="B147">
            <v>30710</v>
          </cell>
          <cell r="F147">
            <v>796</v>
          </cell>
          <cell r="H147">
            <v>649.48</v>
          </cell>
        </row>
        <row r="148">
          <cell r="B148">
            <v>30715</v>
          </cell>
          <cell r="F148">
            <v>0</v>
          </cell>
          <cell r="H148">
            <v>0</v>
          </cell>
        </row>
        <row r="149">
          <cell r="B149">
            <v>31010</v>
          </cell>
          <cell r="F149">
            <v>3000</v>
          </cell>
          <cell r="H149">
            <v>652.16999999999996</v>
          </cell>
        </row>
        <row r="150">
          <cell r="B150">
            <v>31040</v>
          </cell>
          <cell r="F150">
            <v>250</v>
          </cell>
          <cell r="H150">
            <v>59.51</v>
          </cell>
        </row>
        <row r="151">
          <cell r="B151">
            <v>31045</v>
          </cell>
          <cell r="F151">
            <v>0</v>
          </cell>
          <cell r="H151">
            <v>0</v>
          </cell>
        </row>
        <row r="152">
          <cell r="B152">
            <v>31050</v>
          </cell>
          <cell r="F152">
            <v>800</v>
          </cell>
          <cell r="H152">
            <v>397.61</v>
          </cell>
        </row>
        <row r="153">
          <cell r="B153">
            <v>32000</v>
          </cell>
          <cell r="F153">
            <v>8000</v>
          </cell>
          <cell r="H153">
            <v>8838.42</v>
          </cell>
        </row>
        <row r="154">
          <cell r="B154">
            <v>32010</v>
          </cell>
          <cell r="F154">
            <v>500</v>
          </cell>
          <cell r="H154">
            <v>102.61</v>
          </cell>
        </row>
        <row r="155">
          <cell r="B155">
            <v>32020</v>
          </cell>
          <cell r="F155">
            <v>3000</v>
          </cell>
          <cell r="H155">
            <v>4774.99</v>
          </cell>
        </row>
        <row r="156">
          <cell r="B156">
            <v>32030</v>
          </cell>
          <cell r="F156">
            <v>20000</v>
          </cell>
          <cell r="H156">
            <v>15710.27</v>
          </cell>
        </row>
        <row r="157">
          <cell r="B157">
            <v>32040</v>
          </cell>
          <cell r="F157">
            <v>0</v>
          </cell>
          <cell r="H157">
            <v>4.66</v>
          </cell>
        </row>
        <row r="158">
          <cell r="B158">
            <v>32050</v>
          </cell>
          <cell r="F158">
            <v>5500</v>
          </cell>
          <cell r="H158">
            <v>5950.21</v>
          </cell>
        </row>
        <row r="159">
          <cell r="B159">
            <v>32060</v>
          </cell>
          <cell r="F159">
            <v>1000</v>
          </cell>
          <cell r="H159">
            <v>88.44</v>
          </cell>
        </row>
        <row r="160">
          <cell r="B160">
            <v>32070</v>
          </cell>
          <cell r="F160">
            <v>3000</v>
          </cell>
          <cell r="H160">
            <v>2507.5100000000002</v>
          </cell>
        </row>
        <row r="161">
          <cell r="B161">
            <v>32080</v>
          </cell>
          <cell r="F161">
            <v>1000</v>
          </cell>
          <cell r="H161">
            <v>2174.1</v>
          </cell>
        </row>
        <row r="162">
          <cell r="B162">
            <v>32090</v>
          </cell>
          <cell r="F162">
            <v>0</v>
          </cell>
          <cell r="H162">
            <v>0</v>
          </cell>
        </row>
        <row r="163">
          <cell r="B163">
            <v>32100</v>
          </cell>
          <cell r="F163">
            <v>0</v>
          </cell>
          <cell r="H163">
            <v>0</v>
          </cell>
        </row>
        <row r="164">
          <cell r="B164">
            <v>33010</v>
          </cell>
          <cell r="F164">
            <v>260239</v>
          </cell>
          <cell r="H164">
            <v>197138.61</v>
          </cell>
        </row>
        <row r="165">
          <cell r="B165">
            <v>33015</v>
          </cell>
          <cell r="F165">
            <v>0</v>
          </cell>
          <cell r="H165">
            <v>0</v>
          </cell>
        </row>
        <row r="166">
          <cell r="B166">
            <v>33020</v>
          </cell>
          <cell r="F166">
            <v>1276</v>
          </cell>
          <cell r="H166">
            <v>1632.02</v>
          </cell>
        </row>
        <row r="167">
          <cell r="B167">
            <v>33040</v>
          </cell>
          <cell r="F167">
            <v>500</v>
          </cell>
          <cell r="H167">
            <v>237</v>
          </cell>
        </row>
        <row r="168">
          <cell r="B168">
            <v>33050</v>
          </cell>
          <cell r="F168">
            <v>850</v>
          </cell>
          <cell r="H168">
            <v>439.13</v>
          </cell>
        </row>
        <row r="169">
          <cell r="B169">
            <v>33070</v>
          </cell>
          <cell r="F169">
            <v>500</v>
          </cell>
          <cell r="H169">
            <v>367.77</v>
          </cell>
        </row>
        <row r="170">
          <cell r="B170">
            <v>33220</v>
          </cell>
          <cell r="F170">
            <v>0</v>
          </cell>
          <cell r="H170">
            <v>0</v>
          </cell>
        </row>
        <row r="171">
          <cell r="B171">
            <v>33285</v>
          </cell>
          <cell r="F171">
            <v>7420</v>
          </cell>
          <cell r="H171">
            <v>6901.96</v>
          </cell>
        </row>
        <row r="172">
          <cell r="B172">
            <v>33290</v>
          </cell>
          <cell r="F172">
            <v>200</v>
          </cell>
          <cell r="H172">
            <v>0</v>
          </cell>
        </row>
        <row r="173">
          <cell r="B173">
            <v>33295</v>
          </cell>
          <cell r="F173">
            <v>200</v>
          </cell>
          <cell r="H173">
            <v>0</v>
          </cell>
        </row>
        <row r="174">
          <cell r="B174">
            <v>33310</v>
          </cell>
          <cell r="F174">
            <v>0</v>
          </cell>
          <cell r="H174">
            <v>0</v>
          </cell>
        </row>
        <row r="175">
          <cell r="B175">
            <v>33400</v>
          </cell>
          <cell r="F175">
            <v>4500</v>
          </cell>
          <cell r="H175">
            <v>1771.88</v>
          </cell>
        </row>
        <row r="176">
          <cell r="B176">
            <v>33410</v>
          </cell>
          <cell r="F176">
            <v>730</v>
          </cell>
          <cell r="H176">
            <v>607.17999999999995</v>
          </cell>
        </row>
        <row r="177">
          <cell r="B177">
            <v>33420</v>
          </cell>
          <cell r="F177">
            <v>2000</v>
          </cell>
          <cell r="H177">
            <v>251.48</v>
          </cell>
        </row>
        <row r="178">
          <cell r="B178">
            <v>33430</v>
          </cell>
          <cell r="F178">
            <v>6382</v>
          </cell>
          <cell r="H178">
            <v>6580</v>
          </cell>
        </row>
        <row r="179">
          <cell r="B179">
            <v>33440</v>
          </cell>
          <cell r="F179">
            <v>2874</v>
          </cell>
          <cell r="H179">
            <v>3341.81</v>
          </cell>
        </row>
        <row r="180">
          <cell r="B180">
            <v>33450</v>
          </cell>
          <cell r="F180">
            <v>39000</v>
          </cell>
          <cell r="H180">
            <v>29140.22</v>
          </cell>
        </row>
        <row r="181">
          <cell r="B181">
            <v>33460</v>
          </cell>
          <cell r="F181">
            <v>39000</v>
          </cell>
          <cell r="H181">
            <v>32493.93</v>
          </cell>
        </row>
        <row r="182">
          <cell r="B182">
            <v>33470</v>
          </cell>
          <cell r="F182">
            <v>39000</v>
          </cell>
          <cell r="H182">
            <v>36244.870000000003</v>
          </cell>
        </row>
        <row r="183">
          <cell r="B183">
            <v>33475</v>
          </cell>
          <cell r="F183">
            <v>0</v>
          </cell>
          <cell r="H183">
            <v>0</v>
          </cell>
        </row>
        <row r="184">
          <cell r="B184">
            <v>33480</v>
          </cell>
          <cell r="F184">
            <v>9000</v>
          </cell>
          <cell r="H184">
            <v>700.02</v>
          </cell>
        </row>
        <row r="185">
          <cell r="B185">
            <v>33495</v>
          </cell>
          <cell r="F185">
            <v>0</v>
          </cell>
          <cell r="H185">
            <v>0</v>
          </cell>
        </row>
        <row r="186">
          <cell r="B186">
            <v>33500</v>
          </cell>
          <cell r="F186">
            <v>20500</v>
          </cell>
          <cell r="H186">
            <v>5137.8999999999996</v>
          </cell>
        </row>
        <row r="187">
          <cell r="B187">
            <v>33502</v>
          </cell>
          <cell r="F187">
            <v>0</v>
          </cell>
          <cell r="H187">
            <v>0</v>
          </cell>
        </row>
        <row r="188">
          <cell r="B188">
            <v>33510</v>
          </cell>
          <cell r="F188">
            <v>0</v>
          </cell>
          <cell r="H188">
            <v>0</v>
          </cell>
        </row>
        <row r="189">
          <cell r="B189">
            <v>33512</v>
          </cell>
          <cell r="F189">
            <v>0</v>
          </cell>
          <cell r="H189">
            <v>1260</v>
          </cell>
        </row>
        <row r="190">
          <cell r="B190">
            <v>33515</v>
          </cell>
          <cell r="F190">
            <v>0</v>
          </cell>
          <cell r="H190">
            <v>0</v>
          </cell>
        </row>
        <row r="191">
          <cell r="B191">
            <v>33520</v>
          </cell>
          <cell r="F191">
            <v>5000</v>
          </cell>
          <cell r="H191">
            <v>3535.55</v>
          </cell>
        </row>
        <row r="192">
          <cell r="B192">
            <v>33525</v>
          </cell>
          <cell r="F192">
            <v>41860</v>
          </cell>
          <cell r="H192">
            <v>40907.57</v>
          </cell>
        </row>
        <row r="193">
          <cell r="B193">
            <v>33530</v>
          </cell>
          <cell r="F193">
            <v>0</v>
          </cell>
          <cell r="H193">
            <v>0</v>
          </cell>
        </row>
        <row r="194">
          <cell r="B194">
            <v>33540</v>
          </cell>
          <cell r="F194">
            <v>500</v>
          </cell>
          <cell r="H194">
            <v>0</v>
          </cell>
        </row>
        <row r="195">
          <cell r="B195">
            <v>33550</v>
          </cell>
          <cell r="F195">
            <v>12208</v>
          </cell>
          <cell r="H195">
            <v>14553.57</v>
          </cell>
        </row>
        <row r="196">
          <cell r="B196">
            <v>33555</v>
          </cell>
          <cell r="F196">
            <v>0</v>
          </cell>
          <cell r="H196">
            <v>0</v>
          </cell>
        </row>
        <row r="197">
          <cell r="B197">
            <v>33560</v>
          </cell>
          <cell r="F197">
            <v>4000</v>
          </cell>
          <cell r="H197">
            <v>1664.74</v>
          </cell>
        </row>
        <row r="198">
          <cell r="B198">
            <v>33565</v>
          </cell>
          <cell r="F198">
            <v>0</v>
          </cell>
          <cell r="H198">
            <v>0</v>
          </cell>
        </row>
        <row r="199">
          <cell r="B199">
            <v>33580</v>
          </cell>
          <cell r="F199">
            <v>2300</v>
          </cell>
          <cell r="H199">
            <v>1507.79</v>
          </cell>
        </row>
        <row r="200">
          <cell r="B200">
            <v>33590</v>
          </cell>
          <cell r="F200">
            <v>1500</v>
          </cell>
          <cell r="H200">
            <v>1205.1500000000001</v>
          </cell>
        </row>
        <row r="201">
          <cell r="B201">
            <v>33600</v>
          </cell>
          <cell r="F201">
            <v>850</v>
          </cell>
          <cell r="H201">
            <v>341.96</v>
          </cell>
        </row>
        <row r="202">
          <cell r="B202">
            <v>33610</v>
          </cell>
          <cell r="F202">
            <v>750</v>
          </cell>
          <cell r="H202">
            <v>171.6</v>
          </cell>
        </row>
        <row r="203">
          <cell r="B203">
            <v>34000</v>
          </cell>
          <cell r="F203">
            <v>0</v>
          </cell>
          <cell r="H203">
            <v>0</v>
          </cell>
        </row>
        <row r="204">
          <cell r="B204">
            <v>34140</v>
          </cell>
          <cell r="F204">
            <v>0</v>
          </cell>
          <cell r="H204">
            <v>164.66</v>
          </cell>
        </row>
        <row r="205">
          <cell r="B205">
            <v>34145</v>
          </cell>
          <cell r="F205">
            <v>0</v>
          </cell>
          <cell r="H205">
            <v>0</v>
          </cell>
        </row>
        <row r="206">
          <cell r="B206">
            <v>34300</v>
          </cell>
          <cell r="F206">
            <v>0</v>
          </cell>
          <cell r="H206">
            <v>0</v>
          </cell>
        </row>
        <row r="207">
          <cell r="B207">
            <v>34390</v>
          </cell>
          <cell r="F207">
            <v>0</v>
          </cell>
          <cell r="H207">
            <v>0</v>
          </cell>
        </row>
        <row r="208">
          <cell r="B208">
            <v>34395</v>
          </cell>
          <cell r="F208">
            <v>0</v>
          </cell>
          <cell r="H208">
            <v>0</v>
          </cell>
        </row>
        <row r="209">
          <cell r="B209">
            <v>34410</v>
          </cell>
          <cell r="F209">
            <v>0</v>
          </cell>
          <cell r="H209">
            <v>0</v>
          </cell>
        </row>
        <row r="210">
          <cell r="B210">
            <v>34420</v>
          </cell>
          <cell r="F210">
            <v>0</v>
          </cell>
          <cell r="H210">
            <v>0</v>
          </cell>
        </row>
        <row r="211">
          <cell r="B211">
            <v>34440</v>
          </cell>
          <cell r="F211">
            <v>0</v>
          </cell>
          <cell r="H211">
            <v>0</v>
          </cell>
        </row>
        <row r="212">
          <cell r="B212">
            <v>34445</v>
          </cell>
          <cell r="F212">
            <v>0</v>
          </cell>
          <cell r="H212">
            <v>0</v>
          </cell>
        </row>
        <row r="213">
          <cell r="B213">
            <v>34452</v>
          </cell>
          <cell r="F213">
            <v>0</v>
          </cell>
          <cell r="H213">
            <v>0</v>
          </cell>
        </row>
        <row r="214">
          <cell r="B214">
            <v>34453</v>
          </cell>
          <cell r="F214">
            <v>0</v>
          </cell>
          <cell r="H214">
            <v>0</v>
          </cell>
        </row>
        <row r="215">
          <cell r="B215">
            <v>34455</v>
          </cell>
          <cell r="F215">
            <v>0</v>
          </cell>
          <cell r="H215">
            <v>0</v>
          </cell>
        </row>
        <row r="216">
          <cell r="B216">
            <v>34500</v>
          </cell>
          <cell r="F216">
            <v>0</v>
          </cell>
          <cell r="H216">
            <v>0</v>
          </cell>
        </row>
        <row r="217">
          <cell r="B217">
            <v>34600</v>
          </cell>
          <cell r="F217">
            <v>0</v>
          </cell>
          <cell r="H217">
            <v>0</v>
          </cell>
        </row>
        <row r="218">
          <cell r="B218">
            <v>34610</v>
          </cell>
          <cell r="F218">
            <v>0</v>
          </cell>
          <cell r="H218">
            <v>0</v>
          </cell>
        </row>
        <row r="219">
          <cell r="B219">
            <v>34700</v>
          </cell>
          <cell r="F219">
            <v>4880</v>
          </cell>
          <cell r="H219">
            <v>4060.66</v>
          </cell>
        </row>
        <row r="220">
          <cell r="B220">
            <v>34710</v>
          </cell>
          <cell r="F220">
            <v>1400</v>
          </cell>
          <cell r="H220">
            <v>1263.56</v>
          </cell>
        </row>
        <row r="221">
          <cell r="B221">
            <v>34720</v>
          </cell>
          <cell r="F221">
            <v>200</v>
          </cell>
          <cell r="H221">
            <v>64.89</v>
          </cell>
        </row>
        <row r="222">
          <cell r="B222">
            <v>34730</v>
          </cell>
          <cell r="F222">
            <v>200</v>
          </cell>
          <cell r="H222">
            <v>37.369999999999997</v>
          </cell>
        </row>
        <row r="223">
          <cell r="B223">
            <v>34740</v>
          </cell>
          <cell r="F223">
            <v>850</v>
          </cell>
          <cell r="H223">
            <v>755.34</v>
          </cell>
        </row>
        <row r="224">
          <cell r="B224">
            <v>34760</v>
          </cell>
          <cell r="F224">
            <v>150</v>
          </cell>
          <cell r="H224">
            <v>0</v>
          </cell>
        </row>
        <row r="225">
          <cell r="B225">
            <v>34765</v>
          </cell>
          <cell r="F225">
            <v>0</v>
          </cell>
          <cell r="H225">
            <v>0</v>
          </cell>
        </row>
        <row r="226">
          <cell r="B226">
            <v>34770</v>
          </cell>
          <cell r="F226">
            <v>800</v>
          </cell>
          <cell r="H226">
            <v>62.61</v>
          </cell>
        </row>
        <row r="227">
          <cell r="B227">
            <v>34780</v>
          </cell>
          <cell r="F227">
            <v>21000</v>
          </cell>
          <cell r="H227">
            <v>21067.42</v>
          </cell>
        </row>
        <row r="228">
          <cell r="B228">
            <v>35000</v>
          </cell>
          <cell r="F228">
            <v>0</v>
          </cell>
          <cell r="H228">
            <v>0</v>
          </cell>
        </row>
        <row r="229">
          <cell r="B229">
            <v>35010</v>
          </cell>
          <cell r="F229">
            <v>1500</v>
          </cell>
          <cell r="H229">
            <v>1347.66</v>
          </cell>
        </row>
        <row r="230">
          <cell r="B230">
            <v>35020</v>
          </cell>
          <cell r="F230">
            <v>50</v>
          </cell>
          <cell r="H230">
            <v>0</v>
          </cell>
        </row>
        <row r="231">
          <cell r="B231">
            <v>35030</v>
          </cell>
          <cell r="F231">
            <v>250</v>
          </cell>
          <cell r="H231">
            <v>0</v>
          </cell>
        </row>
        <row r="232">
          <cell r="B232">
            <v>35040</v>
          </cell>
          <cell r="F232">
            <v>2500</v>
          </cell>
          <cell r="H232">
            <v>2609.4899999999998</v>
          </cell>
        </row>
        <row r="233">
          <cell r="B233">
            <v>35050</v>
          </cell>
          <cell r="F233">
            <v>36688</v>
          </cell>
          <cell r="H233">
            <v>1627.73</v>
          </cell>
        </row>
        <row r="234">
          <cell r="B234">
            <v>35060</v>
          </cell>
          <cell r="F234">
            <v>0</v>
          </cell>
          <cell r="H234">
            <v>0</v>
          </cell>
        </row>
        <row r="235">
          <cell r="B235">
            <v>35070</v>
          </cell>
          <cell r="F235">
            <v>2000</v>
          </cell>
          <cell r="H235">
            <v>0</v>
          </cell>
        </row>
        <row r="236">
          <cell r="B236">
            <v>35080</v>
          </cell>
          <cell r="F236">
            <v>15800</v>
          </cell>
          <cell r="H236">
            <v>13715.57</v>
          </cell>
        </row>
        <row r="237">
          <cell r="B237">
            <v>35100</v>
          </cell>
          <cell r="F237">
            <v>100</v>
          </cell>
          <cell r="H237">
            <v>19.47</v>
          </cell>
        </row>
        <row r="238">
          <cell r="B238">
            <v>35105</v>
          </cell>
          <cell r="F238">
            <v>150</v>
          </cell>
          <cell r="H238">
            <v>95.22</v>
          </cell>
        </row>
        <row r="239">
          <cell r="B239">
            <v>35110</v>
          </cell>
          <cell r="F239">
            <v>10400</v>
          </cell>
          <cell r="H239">
            <v>10173.450000000001</v>
          </cell>
        </row>
        <row r="240">
          <cell r="B240">
            <v>35115</v>
          </cell>
          <cell r="F240">
            <v>0</v>
          </cell>
          <cell r="H240">
            <v>0</v>
          </cell>
        </row>
        <row r="241">
          <cell r="B241">
            <v>35120</v>
          </cell>
          <cell r="F241">
            <v>0</v>
          </cell>
          <cell r="H241">
            <v>0</v>
          </cell>
        </row>
        <row r="242">
          <cell r="B242">
            <v>35125</v>
          </cell>
          <cell r="F242">
            <v>2500</v>
          </cell>
          <cell r="H242">
            <v>1391.3</v>
          </cell>
        </row>
        <row r="243">
          <cell r="B243">
            <v>35130</v>
          </cell>
          <cell r="F243">
            <v>1000</v>
          </cell>
          <cell r="H243">
            <v>-595.41999999999996</v>
          </cell>
        </row>
        <row r="244">
          <cell r="B244">
            <v>35135</v>
          </cell>
          <cell r="F244">
            <v>2600</v>
          </cell>
          <cell r="H244">
            <v>3511.79</v>
          </cell>
        </row>
        <row r="245">
          <cell r="B245">
            <v>35140</v>
          </cell>
          <cell r="F245">
            <v>4000</v>
          </cell>
          <cell r="H245">
            <v>4109.75</v>
          </cell>
        </row>
        <row r="246">
          <cell r="B246">
            <v>35145</v>
          </cell>
          <cell r="F246">
            <v>8000</v>
          </cell>
          <cell r="H246">
            <v>7619.83</v>
          </cell>
        </row>
        <row r="247">
          <cell r="B247">
            <v>35150</v>
          </cell>
          <cell r="F247">
            <v>200</v>
          </cell>
          <cell r="H247">
            <v>92.63</v>
          </cell>
        </row>
        <row r="248">
          <cell r="B248">
            <v>35155</v>
          </cell>
          <cell r="F248">
            <v>300</v>
          </cell>
          <cell r="H248">
            <v>13.04</v>
          </cell>
        </row>
        <row r="249">
          <cell r="B249">
            <v>35156</v>
          </cell>
          <cell r="F249">
            <v>0</v>
          </cell>
          <cell r="H249">
            <v>0</v>
          </cell>
        </row>
        <row r="250">
          <cell r="B250">
            <v>35157</v>
          </cell>
          <cell r="F250">
            <v>200</v>
          </cell>
          <cell r="H250">
            <v>16.940000000000001</v>
          </cell>
        </row>
        <row r="251">
          <cell r="B251">
            <v>35160</v>
          </cell>
          <cell r="F251">
            <v>4880</v>
          </cell>
          <cell r="H251">
            <v>4101.5200000000004</v>
          </cell>
        </row>
        <row r="252">
          <cell r="B252">
            <v>35161</v>
          </cell>
          <cell r="F252">
            <v>500</v>
          </cell>
          <cell r="H252">
            <v>486.25</v>
          </cell>
        </row>
        <row r="253">
          <cell r="B253">
            <v>35162</v>
          </cell>
          <cell r="F253">
            <v>500</v>
          </cell>
          <cell r="H253">
            <v>355.69</v>
          </cell>
        </row>
        <row r="254">
          <cell r="B254">
            <v>35163</v>
          </cell>
          <cell r="F254">
            <v>250</v>
          </cell>
          <cell r="H254">
            <v>155.68</v>
          </cell>
        </row>
        <row r="255">
          <cell r="B255">
            <v>35164</v>
          </cell>
          <cell r="F255">
            <v>200</v>
          </cell>
          <cell r="H255">
            <v>94.72</v>
          </cell>
        </row>
        <row r="256">
          <cell r="B256">
            <v>35166</v>
          </cell>
          <cell r="F256">
            <v>150</v>
          </cell>
          <cell r="H256">
            <v>128.77000000000001</v>
          </cell>
        </row>
        <row r="257">
          <cell r="B257">
            <v>35167</v>
          </cell>
          <cell r="F257">
            <v>750</v>
          </cell>
          <cell r="H257">
            <v>152.16999999999999</v>
          </cell>
        </row>
        <row r="258">
          <cell r="B258">
            <v>35168</v>
          </cell>
          <cell r="F258">
            <v>6500</v>
          </cell>
          <cell r="H258">
            <v>3977.68</v>
          </cell>
        </row>
        <row r="259">
          <cell r="B259">
            <v>35170</v>
          </cell>
          <cell r="F259">
            <v>0</v>
          </cell>
          <cell r="H259">
            <v>0</v>
          </cell>
        </row>
        <row r="260">
          <cell r="B260">
            <v>35171</v>
          </cell>
          <cell r="F260">
            <v>15205</v>
          </cell>
          <cell r="H260">
            <v>12209.82</v>
          </cell>
        </row>
        <row r="261">
          <cell r="B261">
            <v>35172</v>
          </cell>
          <cell r="F261">
            <v>17000</v>
          </cell>
          <cell r="H261">
            <v>13294.25</v>
          </cell>
        </row>
        <row r="262">
          <cell r="B262">
            <v>35173</v>
          </cell>
          <cell r="F262">
            <v>15000</v>
          </cell>
          <cell r="H262">
            <v>7453.15</v>
          </cell>
        </row>
        <row r="263">
          <cell r="B263">
            <v>35174</v>
          </cell>
          <cell r="F263">
            <v>0</v>
          </cell>
          <cell r="H263">
            <v>0</v>
          </cell>
        </row>
        <row r="264">
          <cell r="B264">
            <v>35175</v>
          </cell>
          <cell r="F264">
            <v>5000</v>
          </cell>
          <cell r="H264">
            <v>6142.58</v>
          </cell>
        </row>
        <row r="265">
          <cell r="B265">
            <v>35176</v>
          </cell>
          <cell r="F265">
            <v>2000</v>
          </cell>
          <cell r="H265">
            <v>300.08999999999997</v>
          </cell>
        </row>
        <row r="266">
          <cell r="B266">
            <v>35177</v>
          </cell>
          <cell r="F266">
            <v>20000</v>
          </cell>
          <cell r="H266">
            <v>10412.07</v>
          </cell>
        </row>
        <row r="267">
          <cell r="B267">
            <v>35178</v>
          </cell>
          <cell r="F267">
            <v>0</v>
          </cell>
          <cell r="H267">
            <v>0</v>
          </cell>
        </row>
        <row r="268">
          <cell r="B268">
            <v>35179</v>
          </cell>
          <cell r="F268">
            <v>0</v>
          </cell>
          <cell r="H268">
            <v>0</v>
          </cell>
        </row>
        <row r="269">
          <cell r="B269">
            <v>35180</v>
          </cell>
          <cell r="F269">
            <v>400</v>
          </cell>
          <cell r="H269">
            <v>475.87</v>
          </cell>
        </row>
        <row r="270">
          <cell r="B270">
            <v>35181</v>
          </cell>
          <cell r="F270">
            <v>600</v>
          </cell>
          <cell r="H270">
            <v>536.98</v>
          </cell>
        </row>
        <row r="271">
          <cell r="B271">
            <v>35182</v>
          </cell>
          <cell r="F271">
            <v>600</v>
          </cell>
          <cell r="H271">
            <v>0</v>
          </cell>
        </row>
        <row r="272">
          <cell r="B272">
            <v>35183</v>
          </cell>
          <cell r="F272">
            <v>300</v>
          </cell>
          <cell r="H272">
            <v>52.15</v>
          </cell>
        </row>
        <row r="273">
          <cell r="B273">
            <v>35184</v>
          </cell>
          <cell r="F273">
            <v>1300</v>
          </cell>
          <cell r="H273">
            <v>1768.75</v>
          </cell>
        </row>
        <row r="274">
          <cell r="B274">
            <v>35185</v>
          </cell>
          <cell r="F274">
            <v>250</v>
          </cell>
          <cell r="H274">
            <v>196.04</v>
          </cell>
        </row>
        <row r="275">
          <cell r="B275">
            <v>35186</v>
          </cell>
          <cell r="F275">
            <v>150</v>
          </cell>
          <cell r="H275">
            <v>147.94</v>
          </cell>
        </row>
        <row r="276">
          <cell r="B276">
            <v>35187</v>
          </cell>
          <cell r="F276">
            <v>750</v>
          </cell>
          <cell r="H276">
            <v>224.79</v>
          </cell>
        </row>
        <row r="277">
          <cell r="B277">
            <v>35188</v>
          </cell>
          <cell r="F277">
            <v>15000</v>
          </cell>
          <cell r="H277">
            <v>17648.43</v>
          </cell>
        </row>
        <row r="278">
          <cell r="B278">
            <v>35189</v>
          </cell>
          <cell r="F278">
            <v>0</v>
          </cell>
          <cell r="H278">
            <v>0</v>
          </cell>
        </row>
        <row r="279">
          <cell r="B279">
            <v>35190</v>
          </cell>
          <cell r="F279">
            <v>0</v>
          </cell>
          <cell r="H279">
            <v>1771.41</v>
          </cell>
        </row>
        <row r="280">
          <cell r="B280">
            <v>35192</v>
          </cell>
          <cell r="F280">
            <v>0</v>
          </cell>
          <cell r="H280">
            <v>1900.97</v>
          </cell>
        </row>
        <row r="281">
          <cell r="B281">
            <v>35195</v>
          </cell>
          <cell r="F281">
            <v>0</v>
          </cell>
          <cell r="H281">
            <v>0</v>
          </cell>
        </row>
        <row r="282">
          <cell r="B282">
            <v>35196</v>
          </cell>
          <cell r="F282">
            <v>60000</v>
          </cell>
          <cell r="H282">
            <v>41609.69</v>
          </cell>
        </row>
        <row r="283">
          <cell r="B283">
            <v>35197</v>
          </cell>
          <cell r="F283">
            <v>0</v>
          </cell>
          <cell r="H283">
            <v>0</v>
          </cell>
        </row>
        <row r="284">
          <cell r="B284">
            <v>35198</v>
          </cell>
          <cell r="F284">
            <v>5000</v>
          </cell>
          <cell r="H284">
            <v>11438.24</v>
          </cell>
        </row>
        <row r="285">
          <cell r="B285">
            <v>35199</v>
          </cell>
          <cell r="F285">
            <v>0</v>
          </cell>
          <cell r="H285">
            <v>780.97</v>
          </cell>
        </row>
        <row r="286">
          <cell r="B286">
            <v>35200</v>
          </cell>
          <cell r="F286">
            <v>21396</v>
          </cell>
          <cell r="H286">
            <v>17914.72</v>
          </cell>
        </row>
        <row r="287">
          <cell r="B287">
            <v>35201</v>
          </cell>
          <cell r="F287">
            <v>0</v>
          </cell>
          <cell r="H287">
            <v>0</v>
          </cell>
        </row>
        <row r="288">
          <cell r="B288">
            <v>35203</v>
          </cell>
          <cell r="F288">
            <v>1500</v>
          </cell>
          <cell r="H288">
            <v>472.19</v>
          </cell>
        </row>
        <row r="289">
          <cell r="B289">
            <v>35204</v>
          </cell>
          <cell r="F289">
            <v>5000</v>
          </cell>
          <cell r="H289">
            <v>0</v>
          </cell>
        </row>
        <row r="290">
          <cell r="B290">
            <v>35205</v>
          </cell>
          <cell r="F290">
            <v>0</v>
          </cell>
          <cell r="H290">
            <v>0</v>
          </cell>
        </row>
        <row r="291">
          <cell r="B291">
            <v>35210</v>
          </cell>
          <cell r="F291">
            <v>0</v>
          </cell>
          <cell r="H291">
            <v>0</v>
          </cell>
        </row>
        <row r="292">
          <cell r="B292">
            <v>35215</v>
          </cell>
          <cell r="F292">
            <v>2000</v>
          </cell>
          <cell r="H292">
            <v>955.81</v>
          </cell>
        </row>
        <row r="293">
          <cell r="B293">
            <v>35220</v>
          </cell>
          <cell r="F293">
            <v>8500</v>
          </cell>
          <cell r="H293">
            <v>7728.26</v>
          </cell>
        </row>
        <row r="294">
          <cell r="B294">
            <v>35225</v>
          </cell>
          <cell r="F294">
            <v>0</v>
          </cell>
          <cell r="H294">
            <v>0</v>
          </cell>
        </row>
        <row r="295">
          <cell r="B295">
            <v>35230</v>
          </cell>
          <cell r="F295">
            <v>11000</v>
          </cell>
          <cell r="H295">
            <v>10795.65</v>
          </cell>
        </row>
        <row r="296">
          <cell r="B296">
            <v>35250</v>
          </cell>
          <cell r="F296">
            <v>0</v>
          </cell>
          <cell r="H296">
            <v>0</v>
          </cell>
        </row>
        <row r="297">
          <cell r="B297">
            <v>35253</v>
          </cell>
          <cell r="F297">
            <v>0</v>
          </cell>
          <cell r="H297">
            <v>0</v>
          </cell>
        </row>
        <row r="298">
          <cell r="B298">
            <v>35255</v>
          </cell>
          <cell r="F298">
            <v>0</v>
          </cell>
          <cell r="H298">
            <v>0</v>
          </cell>
        </row>
        <row r="299">
          <cell r="B299">
            <v>35258</v>
          </cell>
          <cell r="F299">
            <v>0</v>
          </cell>
          <cell r="H299">
            <v>0</v>
          </cell>
        </row>
        <row r="300">
          <cell r="B300">
            <v>35260</v>
          </cell>
          <cell r="F300">
            <v>0</v>
          </cell>
          <cell r="H300">
            <v>0</v>
          </cell>
        </row>
        <row r="301">
          <cell r="B301">
            <v>35263</v>
          </cell>
          <cell r="F301">
            <v>0</v>
          </cell>
          <cell r="H301">
            <v>0</v>
          </cell>
        </row>
        <row r="302">
          <cell r="B302">
            <v>35265</v>
          </cell>
          <cell r="F302">
            <v>0</v>
          </cell>
          <cell r="H302">
            <v>0</v>
          </cell>
        </row>
        <row r="303">
          <cell r="B303">
            <v>35270</v>
          </cell>
          <cell r="F303">
            <v>0</v>
          </cell>
          <cell r="H303">
            <v>0</v>
          </cell>
        </row>
        <row r="304">
          <cell r="B304">
            <v>35273</v>
          </cell>
          <cell r="F304">
            <v>0</v>
          </cell>
          <cell r="H304">
            <v>0</v>
          </cell>
        </row>
        <row r="305">
          <cell r="B305">
            <v>35275</v>
          </cell>
          <cell r="F305">
            <v>0</v>
          </cell>
          <cell r="H305">
            <v>0</v>
          </cell>
        </row>
        <row r="306">
          <cell r="B306">
            <v>35278</v>
          </cell>
          <cell r="F306">
            <v>0</v>
          </cell>
          <cell r="H306">
            <v>0</v>
          </cell>
        </row>
        <row r="307">
          <cell r="B307">
            <v>35280</v>
          </cell>
          <cell r="F307">
            <v>0</v>
          </cell>
          <cell r="H307">
            <v>0</v>
          </cell>
        </row>
        <row r="308">
          <cell r="B308">
            <v>35283</v>
          </cell>
          <cell r="F308">
            <v>0</v>
          </cell>
          <cell r="H308">
            <v>0</v>
          </cell>
        </row>
        <row r="309">
          <cell r="B309">
            <v>35290</v>
          </cell>
          <cell r="F309">
            <v>0</v>
          </cell>
          <cell r="H309">
            <v>0</v>
          </cell>
        </row>
        <row r="310">
          <cell r="B310">
            <v>35291</v>
          </cell>
          <cell r="F310">
            <v>0</v>
          </cell>
          <cell r="H310">
            <v>0</v>
          </cell>
        </row>
        <row r="311">
          <cell r="B311">
            <v>35292</v>
          </cell>
          <cell r="F311">
            <v>0</v>
          </cell>
          <cell r="H311">
            <v>0</v>
          </cell>
        </row>
        <row r="312">
          <cell r="B312">
            <v>35295</v>
          </cell>
          <cell r="F312">
            <v>0</v>
          </cell>
          <cell r="H312">
            <v>0</v>
          </cell>
        </row>
        <row r="313">
          <cell r="B313">
            <v>35296</v>
          </cell>
          <cell r="F313">
            <v>0</v>
          </cell>
          <cell r="H313">
            <v>0</v>
          </cell>
        </row>
        <row r="314">
          <cell r="B314">
            <v>35297</v>
          </cell>
          <cell r="F314">
            <v>0</v>
          </cell>
          <cell r="H314">
            <v>0</v>
          </cell>
        </row>
        <row r="315">
          <cell r="B315">
            <v>35298</v>
          </cell>
          <cell r="F315">
            <v>0</v>
          </cell>
          <cell r="H315">
            <v>0</v>
          </cell>
        </row>
        <row r="316">
          <cell r="B316">
            <v>35300</v>
          </cell>
          <cell r="F316">
            <v>1000</v>
          </cell>
          <cell r="H316">
            <v>1153.83</v>
          </cell>
        </row>
        <row r="317">
          <cell r="B317">
            <v>35305</v>
          </cell>
          <cell r="F317">
            <v>5700</v>
          </cell>
          <cell r="H317">
            <v>4714.03</v>
          </cell>
        </row>
        <row r="318">
          <cell r="B318">
            <v>35310</v>
          </cell>
          <cell r="F318">
            <v>0</v>
          </cell>
          <cell r="H318">
            <v>0</v>
          </cell>
        </row>
        <row r="319">
          <cell r="B319">
            <v>35315</v>
          </cell>
          <cell r="F319">
            <v>0</v>
          </cell>
          <cell r="H319">
            <v>80</v>
          </cell>
        </row>
        <row r="320">
          <cell r="B320">
            <v>35320</v>
          </cell>
          <cell r="F320">
            <v>3500</v>
          </cell>
          <cell r="H320">
            <v>2578</v>
          </cell>
        </row>
        <row r="321">
          <cell r="B321">
            <v>35325</v>
          </cell>
          <cell r="F321">
            <v>500</v>
          </cell>
          <cell r="H321">
            <v>574.04999999999995</v>
          </cell>
        </row>
        <row r="322">
          <cell r="B322">
            <v>35330</v>
          </cell>
          <cell r="F322">
            <v>2000</v>
          </cell>
          <cell r="H322">
            <v>2490.33</v>
          </cell>
        </row>
        <row r="323">
          <cell r="B323">
            <v>35335</v>
          </cell>
          <cell r="F323">
            <v>1500</v>
          </cell>
          <cell r="H323">
            <v>1773.43</v>
          </cell>
        </row>
        <row r="324">
          <cell r="B324">
            <v>35340</v>
          </cell>
          <cell r="F324">
            <v>3000</v>
          </cell>
          <cell r="H324">
            <v>2189.59</v>
          </cell>
        </row>
        <row r="325">
          <cell r="B325">
            <v>35345</v>
          </cell>
          <cell r="F325">
            <v>0</v>
          </cell>
          <cell r="H325">
            <v>0</v>
          </cell>
        </row>
        <row r="326">
          <cell r="B326">
            <v>35350</v>
          </cell>
          <cell r="F326">
            <v>100</v>
          </cell>
          <cell r="H326">
            <v>200.09</v>
          </cell>
        </row>
        <row r="327">
          <cell r="B327">
            <v>35355</v>
          </cell>
          <cell r="F327">
            <v>0</v>
          </cell>
          <cell r="H327">
            <v>0</v>
          </cell>
        </row>
        <row r="328">
          <cell r="B328">
            <v>35360</v>
          </cell>
          <cell r="F328">
            <v>1000</v>
          </cell>
          <cell r="H328">
            <v>764.91</v>
          </cell>
        </row>
        <row r="329">
          <cell r="B329">
            <v>35361</v>
          </cell>
          <cell r="F329">
            <v>200</v>
          </cell>
          <cell r="H329">
            <v>0</v>
          </cell>
        </row>
        <row r="330">
          <cell r="B330">
            <v>35365</v>
          </cell>
          <cell r="F330">
            <v>0</v>
          </cell>
          <cell r="H330">
            <v>0</v>
          </cell>
        </row>
        <row r="331">
          <cell r="B331">
            <v>35400</v>
          </cell>
          <cell r="F331">
            <v>26960</v>
          </cell>
          <cell r="H331">
            <v>15637.03</v>
          </cell>
        </row>
        <row r="332">
          <cell r="B332">
            <v>35401</v>
          </cell>
          <cell r="F332">
            <v>0</v>
          </cell>
          <cell r="H332">
            <v>0</v>
          </cell>
        </row>
        <row r="333">
          <cell r="B333">
            <v>35410</v>
          </cell>
          <cell r="F333">
            <v>1500</v>
          </cell>
          <cell r="H333">
            <v>231.75</v>
          </cell>
        </row>
        <row r="334">
          <cell r="B334">
            <v>35415</v>
          </cell>
          <cell r="F334">
            <v>5000</v>
          </cell>
          <cell r="H334">
            <v>9749.5499999999993</v>
          </cell>
        </row>
        <row r="335">
          <cell r="B335">
            <v>35420</v>
          </cell>
          <cell r="F335">
            <v>0</v>
          </cell>
          <cell r="H335">
            <v>0</v>
          </cell>
        </row>
        <row r="336">
          <cell r="B336">
            <v>35425</v>
          </cell>
          <cell r="F336">
            <v>3000</v>
          </cell>
          <cell r="H336">
            <v>1799.98</v>
          </cell>
        </row>
        <row r="337">
          <cell r="B337">
            <v>35510</v>
          </cell>
          <cell r="F337">
            <v>307275</v>
          </cell>
          <cell r="H337">
            <v>304587.87</v>
          </cell>
        </row>
        <row r="338">
          <cell r="B338">
            <v>35515</v>
          </cell>
          <cell r="F338">
            <v>20000</v>
          </cell>
          <cell r="H338">
            <v>45529.62</v>
          </cell>
        </row>
        <row r="339">
          <cell r="B339">
            <v>35520</v>
          </cell>
          <cell r="F339">
            <v>40612</v>
          </cell>
          <cell r="H339">
            <v>12320.31</v>
          </cell>
        </row>
        <row r="340">
          <cell r="B340">
            <v>35525</v>
          </cell>
          <cell r="F340">
            <v>190204</v>
          </cell>
          <cell r="H340">
            <v>117459.54</v>
          </cell>
        </row>
        <row r="341">
          <cell r="B341">
            <v>35526</v>
          </cell>
          <cell r="F341">
            <v>38000</v>
          </cell>
          <cell r="H341">
            <v>0</v>
          </cell>
        </row>
        <row r="342">
          <cell r="B342">
            <v>35527</v>
          </cell>
          <cell r="F342">
            <v>13750</v>
          </cell>
          <cell r="H342">
            <v>0</v>
          </cell>
        </row>
        <row r="343">
          <cell r="B343">
            <v>35528</v>
          </cell>
          <cell r="F343">
            <v>100000</v>
          </cell>
          <cell r="H343">
            <v>0</v>
          </cell>
        </row>
        <row r="344">
          <cell r="B344">
            <v>35529</v>
          </cell>
          <cell r="F344">
            <v>0</v>
          </cell>
          <cell r="H344">
            <v>0</v>
          </cell>
        </row>
        <row r="345">
          <cell r="B345">
            <v>35530</v>
          </cell>
          <cell r="F345">
            <v>10000</v>
          </cell>
          <cell r="H345">
            <v>3906.02</v>
          </cell>
        </row>
        <row r="346">
          <cell r="B346">
            <v>35535</v>
          </cell>
          <cell r="F346">
            <v>12000</v>
          </cell>
          <cell r="H346">
            <v>5618.08</v>
          </cell>
        </row>
        <row r="347">
          <cell r="B347">
            <v>35540</v>
          </cell>
          <cell r="F347">
            <v>15000</v>
          </cell>
          <cell r="H347">
            <v>14917.62</v>
          </cell>
        </row>
        <row r="348">
          <cell r="B348">
            <v>35545</v>
          </cell>
          <cell r="F348">
            <v>58000</v>
          </cell>
          <cell r="H348">
            <v>17121.330000000002</v>
          </cell>
        </row>
        <row r="349">
          <cell r="B349">
            <v>35550</v>
          </cell>
          <cell r="F349">
            <v>7000</v>
          </cell>
          <cell r="H349">
            <v>6803.8</v>
          </cell>
        </row>
        <row r="350">
          <cell r="B350">
            <v>35555</v>
          </cell>
          <cell r="F350">
            <v>10000</v>
          </cell>
          <cell r="H350">
            <v>0</v>
          </cell>
        </row>
        <row r="351">
          <cell r="B351">
            <v>35600</v>
          </cell>
          <cell r="F351">
            <v>750</v>
          </cell>
          <cell r="H351">
            <v>694.11</v>
          </cell>
        </row>
        <row r="352">
          <cell r="B352">
            <v>35605</v>
          </cell>
          <cell r="F352">
            <v>5500</v>
          </cell>
          <cell r="H352">
            <v>3461.92</v>
          </cell>
        </row>
        <row r="353">
          <cell r="B353">
            <v>35610</v>
          </cell>
          <cell r="F353">
            <v>0</v>
          </cell>
          <cell r="H353">
            <v>0</v>
          </cell>
        </row>
        <row r="354">
          <cell r="B354">
            <v>35615</v>
          </cell>
          <cell r="F354">
            <v>0</v>
          </cell>
          <cell r="H354">
            <v>0</v>
          </cell>
        </row>
        <row r="355">
          <cell r="B355">
            <v>35620</v>
          </cell>
          <cell r="F355">
            <v>1500</v>
          </cell>
          <cell r="H355">
            <v>1172.17</v>
          </cell>
        </row>
        <row r="356">
          <cell r="B356">
            <v>35625</v>
          </cell>
          <cell r="F356">
            <v>400</v>
          </cell>
          <cell r="H356">
            <v>321.72000000000003</v>
          </cell>
        </row>
        <row r="357">
          <cell r="B357">
            <v>35630</v>
          </cell>
          <cell r="F357">
            <v>1500</v>
          </cell>
          <cell r="H357">
            <v>961.31</v>
          </cell>
        </row>
        <row r="358">
          <cell r="B358">
            <v>35635</v>
          </cell>
          <cell r="F358">
            <v>3000</v>
          </cell>
          <cell r="H358">
            <v>1892.43</v>
          </cell>
        </row>
        <row r="359">
          <cell r="B359">
            <v>35640</v>
          </cell>
          <cell r="F359">
            <v>200</v>
          </cell>
          <cell r="H359">
            <v>0</v>
          </cell>
        </row>
        <row r="360">
          <cell r="B360">
            <v>35645</v>
          </cell>
          <cell r="F360">
            <v>2000</v>
          </cell>
          <cell r="H360">
            <v>2098.66</v>
          </cell>
        </row>
        <row r="361">
          <cell r="B361">
            <v>35650</v>
          </cell>
          <cell r="F361">
            <v>100</v>
          </cell>
          <cell r="H361">
            <v>0</v>
          </cell>
        </row>
        <row r="362">
          <cell r="B362">
            <v>35660</v>
          </cell>
          <cell r="F362">
            <v>2000</v>
          </cell>
          <cell r="H362">
            <v>2111.42</v>
          </cell>
        </row>
        <row r="363">
          <cell r="B363">
            <v>35665</v>
          </cell>
          <cell r="F363">
            <v>200</v>
          </cell>
          <cell r="H363">
            <v>0</v>
          </cell>
        </row>
        <row r="364">
          <cell r="B364">
            <v>35700</v>
          </cell>
          <cell r="F364">
            <v>22720</v>
          </cell>
          <cell r="H364">
            <v>20061.87</v>
          </cell>
        </row>
        <row r="365">
          <cell r="B365">
            <v>35702</v>
          </cell>
          <cell r="F365">
            <v>0</v>
          </cell>
          <cell r="H365">
            <v>26.09</v>
          </cell>
        </row>
        <row r="366">
          <cell r="B366">
            <v>35705</v>
          </cell>
          <cell r="F366">
            <v>1500</v>
          </cell>
          <cell r="H366">
            <v>337</v>
          </cell>
        </row>
        <row r="367">
          <cell r="B367">
            <v>35710</v>
          </cell>
          <cell r="F367">
            <v>6500</v>
          </cell>
          <cell r="H367">
            <v>5318.39</v>
          </cell>
        </row>
        <row r="368">
          <cell r="B368">
            <v>35715</v>
          </cell>
          <cell r="F368">
            <v>0</v>
          </cell>
          <cell r="H368">
            <v>228.21</v>
          </cell>
        </row>
        <row r="369">
          <cell r="B369">
            <v>35720</v>
          </cell>
          <cell r="F369">
            <v>2000</v>
          </cell>
          <cell r="H369">
            <v>1531.26</v>
          </cell>
        </row>
        <row r="370">
          <cell r="B370">
            <v>35800</v>
          </cell>
          <cell r="F370">
            <v>32292</v>
          </cell>
          <cell r="H370">
            <v>65170.27</v>
          </cell>
        </row>
        <row r="371">
          <cell r="B371">
            <v>35801</v>
          </cell>
          <cell r="F371">
            <v>10365</v>
          </cell>
          <cell r="H371">
            <v>5755.43</v>
          </cell>
        </row>
        <row r="372">
          <cell r="B372">
            <v>35805</v>
          </cell>
          <cell r="F372">
            <v>360</v>
          </cell>
          <cell r="H372">
            <v>798.26</v>
          </cell>
        </row>
        <row r="373">
          <cell r="B373">
            <v>35810</v>
          </cell>
          <cell r="F373">
            <v>850</v>
          </cell>
          <cell r="H373">
            <v>1020.42</v>
          </cell>
        </row>
        <row r="374">
          <cell r="B374">
            <v>35830</v>
          </cell>
          <cell r="F374">
            <v>1000</v>
          </cell>
          <cell r="H374">
            <v>0</v>
          </cell>
        </row>
        <row r="375">
          <cell r="B375">
            <v>35840</v>
          </cell>
          <cell r="F375">
            <v>500</v>
          </cell>
          <cell r="H375">
            <v>708.73</v>
          </cell>
        </row>
        <row r="376">
          <cell r="B376">
            <v>35850</v>
          </cell>
          <cell r="F376">
            <v>0</v>
          </cell>
          <cell r="H376">
            <v>0</v>
          </cell>
        </row>
        <row r="377">
          <cell r="B377">
            <v>35855</v>
          </cell>
          <cell r="F377">
            <v>150</v>
          </cell>
          <cell r="H377">
            <v>41.35</v>
          </cell>
        </row>
        <row r="378">
          <cell r="B378">
            <v>35860</v>
          </cell>
          <cell r="F378">
            <v>50</v>
          </cell>
          <cell r="H378">
            <v>2.8</v>
          </cell>
        </row>
        <row r="379">
          <cell r="B379">
            <v>35865</v>
          </cell>
          <cell r="F379">
            <v>100</v>
          </cell>
          <cell r="H379">
            <v>90.62</v>
          </cell>
        </row>
        <row r="380">
          <cell r="B380">
            <v>35870</v>
          </cell>
          <cell r="F380">
            <v>0</v>
          </cell>
          <cell r="H380">
            <v>0</v>
          </cell>
        </row>
        <row r="381">
          <cell r="B381">
            <v>35875</v>
          </cell>
          <cell r="F381">
            <v>200</v>
          </cell>
          <cell r="H381">
            <v>86.91</v>
          </cell>
        </row>
        <row r="382">
          <cell r="B382">
            <v>35900</v>
          </cell>
          <cell r="F382">
            <v>38878</v>
          </cell>
          <cell r="H382">
            <v>29035.24</v>
          </cell>
        </row>
        <row r="383">
          <cell r="B383">
            <v>35910</v>
          </cell>
          <cell r="F383">
            <v>650</v>
          </cell>
          <cell r="H383">
            <v>663.76</v>
          </cell>
        </row>
        <row r="384">
          <cell r="B384">
            <v>35920</v>
          </cell>
          <cell r="F384">
            <v>1000</v>
          </cell>
          <cell r="H384">
            <v>464.2</v>
          </cell>
        </row>
        <row r="385">
          <cell r="B385">
            <v>35930</v>
          </cell>
          <cell r="F385">
            <v>250</v>
          </cell>
          <cell r="H385">
            <v>81.09</v>
          </cell>
        </row>
        <row r="386">
          <cell r="B386">
            <v>35940</v>
          </cell>
          <cell r="F386">
            <v>2127</v>
          </cell>
          <cell r="H386">
            <v>875.92</v>
          </cell>
        </row>
        <row r="387">
          <cell r="B387">
            <v>35960</v>
          </cell>
          <cell r="F387">
            <v>100</v>
          </cell>
          <cell r="H387">
            <v>38.26</v>
          </cell>
        </row>
        <row r="388">
          <cell r="B388">
            <v>35970</v>
          </cell>
          <cell r="F388">
            <v>1000</v>
          </cell>
          <cell r="H388">
            <v>200</v>
          </cell>
        </row>
        <row r="389">
          <cell r="B389">
            <v>35980</v>
          </cell>
          <cell r="F389">
            <v>7000</v>
          </cell>
          <cell r="H389">
            <v>7065.72</v>
          </cell>
        </row>
        <row r="390">
          <cell r="B390">
            <v>37000</v>
          </cell>
          <cell r="F390">
            <v>850</v>
          </cell>
          <cell r="H390">
            <v>1272.75</v>
          </cell>
        </row>
        <row r="391">
          <cell r="B391">
            <v>37010</v>
          </cell>
          <cell r="F391">
            <v>23500</v>
          </cell>
          <cell r="H391">
            <v>33805.94</v>
          </cell>
        </row>
        <row r="392">
          <cell r="B392">
            <v>37030</v>
          </cell>
          <cell r="F392">
            <v>0</v>
          </cell>
          <cell r="H392">
            <v>0</v>
          </cell>
        </row>
        <row r="393">
          <cell r="B393">
            <v>37040</v>
          </cell>
          <cell r="F393">
            <v>36400</v>
          </cell>
          <cell r="H393">
            <v>36541.31</v>
          </cell>
        </row>
        <row r="394">
          <cell r="B394">
            <v>37041</v>
          </cell>
          <cell r="F394">
            <v>0</v>
          </cell>
          <cell r="H394">
            <v>192.36</v>
          </cell>
        </row>
        <row r="395">
          <cell r="B395">
            <v>37050</v>
          </cell>
          <cell r="F395">
            <v>27560</v>
          </cell>
          <cell r="H395">
            <v>563</v>
          </cell>
        </row>
        <row r="396">
          <cell r="B396">
            <v>37060</v>
          </cell>
          <cell r="F396">
            <v>19000</v>
          </cell>
          <cell r="H396">
            <v>17654</v>
          </cell>
        </row>
        <row r="397">
          <cell r="B397">
            <v>37070</v>
          </cell>
          <cell r="F397">
            <v>15000</v>
          </cell>
          <cell r="H397">
            <v>12556.52</v>
          </cell>
        </row>
        <row r="398">
          <cell r="B398">
            <v>37080</v>
          </cell>
          <cell r="F398">
            <v>16500</v>
          </cell>
          <cell r="H398">
            <v>13780</v>
          </cell>
        </row>
        <row r="399">
          <cell r="B399">
            <v>37085</v>
          </cell>
          <cell r="F399">
            <v>0</v>
          </cell>
          <cell r="H399">
            <v>0</v>
          </cell>
        </row>
        <row r="400">
          <cell r="B400">
            <v>37090</v>
          </cell>
          <cell r="F400">
            <v>8000</v>
          </cell>
          <cell r="H400">
            <v>6745</v>
          </cell>
        </row>
        <row r="401">
          <cell r="B401">
            <v>37130</v>
          </cell>
          <cell r="F401">
            <v>16500</v>
          </cell>
          <cell r="H401">
            <v>15307.5</v>
          </cell>
        </row>
        <row r="402">
          <cell r="B402">
            <v>37140</v>
          </cell>
          <cell r="F402">
            <v>16500</v>
          </cell>
          <cell r="H402">
            <v>12449.69</v>
          </cell>
        </row>
        <row r="403">
          <cell r="B403">
            <v>37141</v>
          </cell>
          <cell r="F403">
            <v>0</v>
          </cell>
          <cell r="H403">
            <v>0</v>
          </cell>
        </row>
        <row r="404">
          <cell r="B404">
            <v>37145</v>
          </cell>
          <cell r="F404">
            <v>1000</v>
          </cell>
          <cell r="H404">
            <v>0</v>
          </cell>
        </row>
        <row r="405">
          <cell r="B405">
            <v>37160</v>
          </cell>
          <cell r="F405">
            <v>5000</v>
          </cell>
          <cell r="H405">
            <v>8337.85</v>
          </cell>
        </row>
        <row r="406">
          <cell r="B406">
            <v>37180</v>
          </cell>
          <cell r="F406">
            <v>2500</v>
          </cell>
          <cell r="H406">
            <v>2025.42</v>
          </cell>
        </row>
        <row r="407">
          <cell r="B407">
            <v>37185</v>
          </cell>
          <cell r="F407">
            <v>1450</v>
          </cell>
          <cell r="H407">
            <v>1641.68</v>
          </cell>
        </row>
        <row r="408">
          <cell r="B408">
            <v>37187</v>
          </cell>
          <cell r="F408">
            <v>750</v>
          </cell>
          <cell r="H408">
            <v>923.16</v>
          </cell>
        </row>
        <row r="409">
          <cell r="B409">
            <v>37190</v>
          </cell>
          <cell r="F409">
            <v>1300</v>
          </cell>
          <cell r="H409">
            <v>1209.6600000000001</v>
          </cell>
        </row>
        <row r="410">
          <cell r="B410">
            <v>37210</v>
          </cell>
          <cell r="F410">
            <v>850</v>
          </cell>
          <cell r="H410">
            <v>858.72</v>
          </cell>
        </row>
        <row r="411">
          <cell r="B411">
            <v>37250</v>
          </cell>
          <cell r="F411">
            <v>350</v>
          </cell>
          <cell r="H411">
            <v>65</v>
          </cell>
        </row>
        <row r="412">
          <cell r="B412">
            <v>37251</v>
          </cell>
          <cell r="F412">
            <v>0</v>
          </cell>
          <cell r="H412">
            <v>0</v>
          </cell>
        </row>
        <row r="413">
          <cell r="B413">
            <v>37260</v>
          </cell>
          <cell r="F413">
            <v>0</v>
          </cell>
          <cell r="H413">
            <v>0</v>
          </cell>
        </row>
        <row r="414">
          <cell r="B414">
            <v>37270</v>
          </cell>
          <cell r="F414">
            <v>0</v>
          </cell>
          <cell r="H414">
            <v>0</v>
          </cell>
        </row>
        <row r="415">
          <cell r="B415">
            <v>37300</v>
          </cell>
          <cell r="F415">
            <v>250151</v>
          </cell>
          <cell r="H415">
            <v>265038.81</v>
          </cell>
        </row>
        <row r="416">
          <cell r="B416">
            <v>37305</v>
          </cell>
          <cell r="F416">
            <v>53392</v>
          </cell>
          <cell r="H416">
            <v>48859.92</v>
          </cell>
        </row>
        <row r="417">
          <cell r="B417">
            <v>37306</v>
          </cell>
          <cell r="F417">
            <v>6152</v>
          </cell>
          <cell r="H417">
            <v>6432.82</v>
          </cell>
        </row>
        <row r="418">
          <cell r="B418">
            <v>37315</v>
          </cell>
          <cell r="F418">
            <v>0</v>
          </cell>
          <cell r="H418">
            <v>0</v>
          </cell>
        </row>
        <row r="419">
          <cell r="B419">
            <v>37316</v>
          </cell>
          <cell r="F419">
            <v>1090</v>
          </cell>
          <cell r="H419">
            <v>1702.61</v>
          </cell>
        </row>
        <row r="420">
          <cell r="B420">
            <v>37320</v>
          </cell>
          <cell r="F420">
            <v>1500</v>
          </cell>
          <cell r="H420">
            <v>513.53</v>
          </cell>
        </row>
        <row r="421">
          <cell r="B421">
            <v>37330</v>
          </cell>
          <cell r="F421">
            <v>0</v>
          </cell>
          <cell r="H421">
            <v>0</v>
          </cell>
        </row>
        <row r="422">
          <cell r="B422">
            <v>37340</v>
          </cell>
          <cell r="F422">
            <v>26000</v>
          </cell>
          <cell r="H422">
            <v>29514.52</v>
          </cell>
        </row>
        <row r="423">
          <cell r="B423">
            <v>37400</v>
          </cell>
          <cell r="F423">
            <v>16960</v>
          </cell>
          <cell r="H423">
            <v>16710.009999999998</v>
          </cell>
        </row>
        <row r="424">
          <cell r="B424">
            <v>37500</v>
          </cell>
          <cell r="F424">
            <v>13558</v>
          </cell>
          <cell r="H424">
            <v>11121.69</v>
          </cell>
        </row>
        <row r="425">
          <cell r="B425">
            <v>37520</v>
          </cell>
          <cell r="F425">
            <v>6000</v>
          </cell>
          <cell r="H425">
            <v>8354.3799999999992</v>
          </cell>
        </row>
        <row r="426">
          <cell r="B426">
            <v>37530</v>
          </cell>
          <cell r="F426">
            <v>500</v>
          </cell>
          <cell r="H426">
            <v>53.91</v>
          </cell>
        </row>
        <row r="427">
          <cell r="B427">
            <v>37540</v>
          </cell>
          <cell r="F427">
            <v>500</v>
          </cell>
          <cell r="H427">
            <v>378.31</v>
          </cell>
        </row>
        <row r="428">
          <cell r="B428">
            <v>37600</v>
          </cell>
          <cell r="F428">
            <v>2128</v>
          </cell>
          <cell r="H428">
            <v>3290</v>
          </cell>
        </row>
        <row r="429">
          <cell r="B429">
            <v>37610</v>
          </cell>
          <cell r="F429">
            <v>850</v>
          </cell>
          <cell r="H429">
            <v>834.96</v>
          </cell>
        </row>
        <row r="430">
          <cell r="B430">
            <v>37620</v>
          </cell>
          <cell r="F430">
            <v>500</v>
          </cell>
          <cell r="H430">
            <v>459.01</v>
          </cell>
        </row>
        <row r="431">
          <cell r="B431">
            <v>37630</v>
          </cell>
          <cell r="F431">
            <v>450</v>
          </cell>
          <cell r="H431">
            <v>154.24</v>
          </cell>
        </row>
        <row r="432">
          <cell r="B432">
            <v>37640</v>
          </cell>
          <cell r="F432">
            <v>700</v>
          </cell>
          <cell r="H432">
            <v>359.67</v>
          </cell>
        </row>
        <row r="433">
          <cell r="B433">
            <v>37730</v>
          </cell>
          <cell r="F433">
            <v>22000</v>
          </cell>
          <cell r="H433">
            <v>18585.900000000001</v>
          </cell>
        </row>
        <row r="434">
          <cell r="B434">
            <v>37735</v>
          </cell>
          <cell r="F434">
            <v>500</v>
          </cell>
          <cell r="H434">
            <v>153.52000000000001</v>
          </cell>
        </row>
        <row r="435">
          <cell r="B435">
            <v>37740</v>
          </cell>
          <cell r="F435">
            <v>38028</v>
          </cell>
          <cell r="H435">
            <v>0</v>
          </cell>
        </row>
        <row r="436">
          <cell r="B436">
            <v>37745</v>
          </cell>
          <cell r="F436">
            <v>4500</v>
          </cell>
          <cell r="H436">
            <v>4317.47</v>
          </cell>
        </row>
        <row r="437">
          <cell r="B437">
            <v>37750</v>
          </cell>
          <cell r="F437">
            <v>700</v>
          </cell>
          <cell r="H437">
            <v>55.19</v>
          </cell>
        </row>
        <row r="438">
          <cell r="B438">
            <v>37900</v>
          </cell>
          <cell r="F438">
            <v>0</v>
          </cell>
          <cell r="H438">
            <v>0</v>
          </cell>
        </row>
        <row r="439">
          <cell r="B439">
            <v>37945</v>
          </cell>
          <cell r="F439">
            <v>0</v>
          </cell>
          <cell r="H439">
            <v>0</v>
          </cell>
        </row>
        <row r="440">
          <cell r="B440">
            <v>37960</v>
          </cell>
          <cell r="F440">
            <v>0</v>
          </cell>
          <cell r="H440">
            <v>0</v>
          </cell>
        </row>
        <row r="441">
          <cell r="B441">
            <v>37965</v>
          </cell>
          <cell r="F441">
            <v>0</v>
          </cell>
          <cell r="H441">
            <v>0</v>
          </cell>
        </row>
        <row r="442">
          <cell r="B442">
            <v>38010</v>
          </cell>
          <cell r="F442">
            <v>2000</v>
          </cell>
          <cell r="H442">
            <v>-434.78</v>
          </cell>
        </row>
        <row r="443">
          <cell r="B443">
            <v>38020</v>
          </cell>
          <cell r="F443">
            <v>8000</v>
          </cell>
          <cell r="H443">
            <v>5235.37</v>
          </cell>
        </row>
        <row r="444">
          <cell r="B444">
            <v>38030</v>
          </cell>
          <cell r="F444">
            <v>2000</v>
          </cell>
          <cell r="H444">
            <v>83.49</v>
          </cell>
        </row>
        <row r="445">
          <cell r="B445">
            <v>38035</v>
          </cell>
          <cell r="F445">
            <v>0</v>
          </cell>
          <cell r="H445">
            <v>0</v>
          </cell>
        </row>
        <row r="446">
          <cell r="B446">
            <v>38040</v>
          </cell>
          <cell r="F446">
            <v>0</v>
          </cell>
          <cell r="H446">
            <v>280.04000000000002</v>
          </cell>
        </row>
        <row r="447">
          <cell r="B447">
            <v>38050</v>
          </cell>
          <cell r="F447">
            <v>750</v>
          </cell>
          <cell r="H447">
            <v>0</v>
          </cell>
        </row>
        <row r="448">
          <cell r="B448">
            <v>38070</v>
          </cell>
          <cell r="F448">
            <v>0</v>
          </cell>
          <cell r="H448">
            <v>0</v>
          </cell>
        </row>
        <row r="449">
          <cell r="B449">
            <v>38080</v>
          </cell>
          <cell r="F449">
            <v>4000</v>
          </cell>
          <cell r="H449">
            <v>1200</v>
          </cell>
        </row>
        <row r="450">
          <cell r="B450">
            <v>38090</v>
          </cell>
          <cell r="F450">
            <v>0</v>
          </cell>
          <cell r="H450">
            <v>58693.440000000002</v>
          </cell>
        </row>
        <row r="451">
          <cell r="B451">
            <v>38095</v>
          </cell>
          <cell r="F451">
            <v>3500</v>
          </cell>
          <cell r="H451">
            <v>0</v>
          </cell>
        </row>
        <row r="452">
          <cell r="B452">
            <v>38220</v>
          </cell>
          <cell r="F452">
            <v>702326</v>
          </cell>
          <cell r="H452">
            <v>758591.94</v>
          </cell>
        </row>
        <row r="453">
          <cell r="B453">
            <v>38221</v>
          </cell>
          <cell r="F453">
            <v>26606</v>
          </cell>
          <cell r="H453">
            <v>25068.43</v>
          </cell>
        </row>
        <row r="454">
          <cell r="B454">
            <v>38222</v>
          </cell>
          <cell r="F454">
            <v>37965</v>
          </cell>
          <cell r="H454">
            <v>10721.15</v>
          </cell>
        </row>
        <row r="455">
          <cell r="B455">
            <v>38250</v>
          </cell>
          <cell r="F455">
            <v>3442</v>
          </cell>
          <cell r="H455">
            <v>264.33</v>
          </cell>
        </row>
        <row r="456">
          <cell r="B456">
            <v>38260</v>
          </cell>
          <cell r="F456">
            <v>1000</v>
          </cell>
          <cell r="H456">
            <v>1304.96</v>
          </cell>
        </row>
        <row r="457">
          <cell r="B457">
            <v>38270</v>
          </cell>
          <cell r="F457">
            <v>4500</v>
          </cell>
          <cell r="H457">
            <v>5293.26</v>
          </cell>
        </row>
        <row r="458">
          <cell r="B458">
            <v>38280</v>
          </cell>
          <cell r="F458">
            <v>300</v>
          </cell>
          <cell r="H458">
            <v>121.09</v>
          </cell>
        </row>
        <row r="459">
          <cell r="B459">
            <v>38300</v>
          </cell>
          <cell r="F459">
            <v>2000</v>
          </cell>
          <cell r="H459">
            <v>3114.6</v>
          </cell>
        </row>
        <row r="460">
          <cell r="B460">
            <v>38307</v>
          </cell>
          <cell r="F460">
            <v>0</v>
          </cell>
          <cell r="H460">
            <v>0</v>
          </cell>
        </row>
        <row r="461">
          <cell r="B461">
            <v>38310</v>
          </cell>
          <cell r="F461">
            <v>500</v>
          </cell>
          <cell r="H461">
            <v>229.1</v>
          </cell>
        </row>
        <row r="462">
          <cell r="B462">
            <v>38320</v>
          </cell>
          <cell r="F462">
            <v>150</v>
          </cell>
          <cell r="H462">
            <v>19.510000000000002</v>
          </cell>
        </row>
        <row r="463">
          <cell r="B463">
            <v>38340</v>
          </cell>
          <cell r="F463">
            <v>0</v>
          </cell>
          <cell r="H463">
            <v>0</v>
          </cell>
        </row>
        <row r="464">
          <cell r="B464">
            <v>38350</v>
          </cell>
          <cell r="F464">
            <v>2800</v>
          </cell>
          <cell r="H464">
            <v>2605.11</v>
          </cell>
        </row>
        <row r="465">
          <cell r="B465">
            <v>38370</v>
          </cell>
          <cell r="F465">
            <v>0</v>
          </cell>
          <cell r="H465">
            <v>0</v>
          </cell>
        </row>
        <row r="466">
          <cell r="B466">
            <v>38390</v>
          </cell>
          <cell r="F466">
            <v>750</v>
          </cell>
          <cell r="H466">
            <v>934.44</v>
          </cell>
        </row>
        <row r="467">
          <cell r="B467">
            <v>38400</v>
          </cell>
          <cell r="F467">
            <v>20000</v>
          </cell>
          <cell r="H467">
            <v>15307.09</v>
          </cell>
        </row>
        <row r="468">
          <cell r="B468">
            <v>38410</v>
          </cell>
          <cell r="F468">
            <v>750</v>
          </cell>
          <cell r="H468">
            <v>557.73</v>
          </cell>
        </row>
        <row r="469">
          <cell r="B469">
            <v>38420</v>
          </cell>
          <cell r="F469">
            <v>2500</v>
          </cell>
          <cell r="H469">
            <v>2224.7600000000002</v>
          </cell>
        </row>
        <row r="470">
          <cell r="B470">
            <v>38500</v>
          </cell>
          <cell r="F470">
            <v>59336</v>
          </cell>
          <cell r="H470">
            <v>49645.98</v>
          </cell>
        </row>
        <row r="471">
          <cell r="B471">
            <v>38520</v>
          </cell>
          <cell r="F471">
            <v>0</v>
          </cell>
          <cell r="H471">
            <v>0</v>
          </cell>
        </row>
        <row r="472">
          <cell r="B472">
            <v>38600</v>
          </cell>
          <cell r="F472">
            <v>10636</v>
          </cell>
          <cell r="H472">
            <v>10970</v>
          </cell>
        </row>
        <row r="473">
          <cell r="B473">
            <v>38610</v>
          </cell>
          <cell r="F473">
            <v>1500</v>
          </cell>
          <cell r="H473">
            <v>1316.98</v>
          </cell>
        </row>
        <row r="474">
          <cell r="B474">
            <v>38620</v>
          </cell>
          <cell r="F474">
            <v>1000</v>
          </cell>
          <cell r="H474">
            <v>590.62</v>
          </cell>
        </row>
        <row r="475">
          <cell r="B475">
            <v>38630</v>
          </cell>
          <cell r="F475">
            <v>500</v>
          </cell>
          <cell r="H475">
            <v>313.02</v>
          </cell>
        </row>
        <row r="476">
          <cell r="B476">
            <v>38640</v>
          </cell>
          <cell r="F476">
            <v>1000</v>
          </cell>
          <cell r="H476">
            <v>288.48</v>
          </cell>
        </row>
        <row r="477">
          <cell r="B477">
            <v>38700</v>
          </cell>
          <cell r="F477">
            <v>0</v>
          </cell>
          <cell r="H477">
            <v>0</v>
          </cell>
        </row>
        <row r="478">
          <cell r="B478">
            <v>38760</v>
          </cell>
          <cell r="F478">
            <v>0</v>
          </cell>
          <cell r="H478">
            <v>0</v>
          </cell>
        </row>
        <row r="479">
          <cell r="B479">
            <v>38790</v>
          </cell>
          <cell r="F479">
            <v>0</v>
          </cell>
          <cell r="H479">
            <v>0</v>
          </cell>
        </row>
        <row r="480">
          <cell r="B480">
            <v>38810</v>
          </cell>
          <cell r="F480">
            <v>0</v>
          </cell>
          <cell r="H480">
            <v>0</v>
          </cell>
        </row>
        <row r="481">
          <cell r="B481">
            <v>38815</v>
          </cell>
          <cell r="F481">
            <v>0</v>
          </cell>
          <cell r="H481">
            <v>0</v>
          </cell>
        </row>
        <row r="482">
          <cell r="B482">
            <v>38820</v>
          </cell>
          <cell r="F482">
            <v>0</v>
          </cell>
          <cell r="H482">
            <v>0</v>
          </cell>
        </row>
        <row r="483">
          <cell r="B483">
            <v>38830</v>
          </cell>
          <cell r="F483">
            <v>0</v>
          </cell>
          <cell r="H483">
            <v>0</v>
          </cell>
        </row>
        <row r="484">
          <cell r="B484">
            <v>38922</v>
          </cell>
          <cell r="F484">
            <v>0</v>
          </cell>
          <cell r="H484">
            <v>915.92</v>
          </cell>
        </row>
        <row r="485">
          <cell r="B485">
            <v>38928</v>
          </cell>
          <cell r="F485">
            <v>4000</v>
          </cell>
          <cell r="H485">
            <v>0</v>
          </cell>
        </row>
        <row r="486">
          <cell r="B486">
            <v>38929</v>
          </cell>
          <cell r="F486">
            <v>53837</v>
          </cell>
          <cell r="H486">
            <v>11448.44</v>
          </cell>
        </row>
        <row r="487">
          <cell r="B487">
            <v>38930</v>
          </cell>
          <cell r="F487">
            <v>234468</v>
          </cell>
          <cell r="H487">
            <v>151413.03</v>
          </cell>
        </row>
        <row r="488">
          <cell r="B488">
            <v>38931</v>
          </cell>
          <cell r="F488">
            <v>1280</v>
          </cell>
          <cell r="H488">
            <v>1815.65</v>
          </cell>
        </row>
        <row r="489">
          <cell r="B489">
            <v>38932</v>
          </cell>
          <cell r="F489">
            <v>3000</v>
          </cell>
          <cell r="H489">
            <v>1366.79</v>
          </cell>
        </row>
        <row r="490">
          <cell r="B490">
            <v>38933</v>
          </cell>
          <cell r="F490">
            <v>12000</v>
          </cell>
          <cell r="H490">
            <v>8945.4</v>
          </cell>
        </row>
        <row r="491">
          <cell r="B491">
            <v>38934</v>
          </cell>
          <cell r="F491">
            <v>1500</v>
          </cell>
          <cell r="H491">
            <v>1348.75</v>
          </cell>
        </row>
        <row r="492">
          <cell r="B492">
            <v>38935</v>
          </cell>
          <cell r="F492">
            <v>2500</v>
          </cell>
          <cell r="H492">
            <v>2239.9699999999998</v>
          </cell>
        </row>
        <row r="493">
          <cell r="B493">
            <v>38936</v>
          </cell>
          <cell r="F493">
            <v>1000</v>
          </cell>
          <cell r="H493">
            <v>224.84</v>
          </cell>
        </row>
        <row r="494">
          <cell r="B494">
            <v>38937</v>
          </cell>
          <cell r="F494">
            <v>1000</v>
          </cell>
          <cell r="H494">
            <v>330.04</v>
          </cell>
        </row>
        <row r="495">
          <cell r="B495">
            <v>38938</v>
          </cell>
          <cell r="F495">
            <v>3000</v>
          </cell>
          <cell r="H495">
            <v>2911.68</v>
          </cell>
        </row>
        <row r="496">
          <cell r="B496">
            <v>38939</v>
          </cell>
          <cell r="F496">
            <v>4500</v>
          </cell>
          <cell r="H496">
            <v>3050.68</v>
          </cell>
        </row>
        <row r="497">
          <cell r="B497">
            <v>38940</v>
          </cell>
          <cell r="F497">
            <v>32431</v>
          </cell>
          <cell r="H497">
            <v>25550.34</v>
          </cell>
        </row>
        <row r="498">
          <cell r="B498">
            <v>38945</v>
          </cell>
          <cell r="F498">
            <v>1000</v>
          </cell>
          <cell r="H498">
            <v>0</v>
          </cell>
        </row>
        <row r="499">
          <cell r="B499">
            <v>38946</v>
          </cell>
          <cell r="F499">
            <v>0</v>
          </cell>
          <cell r="H499">
            <v>0</v>
          </cell>
        </row>
        <row r="500">
          <cell r="B500">
            <v>38950</v>
          </cell>
          <cell r="F500">
            <v>0</v>
          </cell>
          <cell r="H500">
            <v>7.83</v>
          </cell>
        </row>
        <row r="501">
          <cell r="B501">
            <v>38951</v>
          </cell>
          <cell r="F501">
            <v>3200</v>
          </cell>
          <cell r="H501">
            <v>597.61</v>
          </cell>
        </row>
        <row r="502">
          <cell r="B502">
            <v>38952</v>
          </cell>
          <cell r="F502">
            <v>40000</v>
          </cell>
          <cell r="H502">
            <v>30327.59</v>
          </cell>
        </row>
        <row r="503">
          <cell r="B503">
            <v>38953</v>
          </cell>
          <cell r="F503">
            <v>0</v>
          </cell>
          <cell r="H503">
            <v>0</v>
          </cell>
        </row>
        <row r="504">
          <cell r="B504">
            <v>38954</v>
          </cell>
          <cell r="F504">
            <v>16000</v>
          </cell>
          <cell r="H504">
            <v>11793.96</v>
          </cell>
        </row>
        <row r="505">
          <cell r="B505">
            <v>38955</v>
          </cell>
          <cell r="F505">
            <v>0</v>
          </cell>
          <cell r="H505">
            <v>0</v>
          </cell>
        </row>
        <row r="506">
          <cell r="B506">
            <v>38956</v>
          </cell>
          <cell r="F506">
            <v>0</v>
          </cell>
          <cell r="H506">
            <v>98.83</v>
          </cell>
        </row>
        <row r="507">
          <cell r="B507">
            <v>38957</v>
          </cell>
          <cell r="F507">
            <v>0</v>
          </cell>
          <cell r="H507">
            <v>667.52</v>
          </cell>
        </row>
        <row r="508">
          <cell r="B508">
            <v>38958</v>
          </cell>
          <cell r="F508">
            <v>16000</v>
          </cell>
          <cell r="H508">
            <v>16336.25</v>
          </cell>
        </row>
        <row r="509">
          <cell r="B509">
            <v>38959</v>
          </cell>
          <cell r="F509">
            <v>10000</v>
          </cell>
          <cell r="H509">
            <v>30805.87</v>
          </cell>
        </row>
        <row r="510">
          <cell r="B510">
            <v>38966</v>
          </cell>
          <cell r="F510">
            <v>8000</v>
          </cell>
          <cell r="H510">
            <v>7877.33</v>
          </cell>
        </row>
        <row r="511">
          <cell r="B511">
            <v>38967</v>
          </cell>
          <cell r="F511">
            <v>8000</v>
          </cell>
          <cell r="H511">
            <v>18289.400000000001</v>
          </cell>
        </row>
        <row r="512">
          <cell r="B512">
            <v>38968</v>
          </cell>
          <cell r="F512">
            <v>0</v>
          </cell>
          <cell r="H512">
            <v>0</v>
          </cell>
        </row>
        <row r="513">
          <cell r="B513">
            <v>38969</v>
          </cell>
          <cell r="F513">
            <v>0</v>
          </cell>
          <cell r="H513">
            <v>0</v>
          </cell>
        </row>
        <row r="514">
          <cell r="B514">
            <v>38972</v>
          </cell>
          <cell r="F514">
            <v>0</v>
          </cell>
          <cell r="H514">
            <v>0</v>
          </cell>
        </row>
        <row r="515">
          <cell r="B515">
            <v>38974</v>
          </cell>
          <cell r="F515">
            <v>8000</v>
          </cell>
          <cell r="H515">
            <v>7403.71</v>
          </cell>
        </row>
        <row r="516">
          <cell r="B516">
            <v>38975</v>
          </cell>
          <cell r="F516">
            <v>0</v>
          </cell>
          <cell r="H516">
            <v>0</v>
          </cell>
        </row>
        <row r="517">
          <cell r="B517">
            <v>38976</v>
          </cell>
          <cell r="F517">
            <v>0</v>
          </cell>
          <cell r="H517">
            <v>0</v>
          </cell>
        </row>
        <row r="518">
          <cell r="B518">
            <v>38977</v>
          </cell>
          <cell r="F518">
            <v>0</v>
          </cell>
          <cell r="H518">
            <v>0</v>
          </cell>
        </row>
        <row r="519">
          <cell r="B519">
            <v>38978</v>
          </cell>
          <cell r="F519">
            <v>0</v>
          </cell>
          <cell r="H519">
            <v>0</v>
          </cell>
        </row>
        <row r="520">
          <cell r="B520">
            <v>38979</v>
          </cell>
          <cell r="F520">
            <v>0</v>
          </cell>
          <cell r="H520">
            <v>67.48</v>
          </cell>
        </row>
        <row r="521">
          <cell r="B521">
            <v>38980</v>
          </cell>
          <cell r="F521">
            <v>15000</v>
          </cell>
          <cell r="H521">
            <v>0</v>
          </cell>
        </row>
        <row r="522">
          <cell r="B522">
            <v>38987</v>
          </cell>
          <cell r="F522">
            <v>0</v>
          </cell>
          <cell r="H522">
            <v>0</v>
          </cell>
        </row>
        <row r="523">
          <cell r="B523">
            <v>38988</v>
          </cell>
          <cell r="F523">
            <v>0</v>
          </cell>
          <cell r="H523">
            <v>0</v>
          </cell>
        </row>
        <row r="524">
          <cell r="B524">
            <v>38989</v>
          </cell>
          <cell r="F524">
            <v>32000</v>
          </cell>
          <cell r="H524">
            <v>23292.6</v>
          </cell>
        </row>
        <row r="525">
          <cell r="B525">
            <v>38990</v>
          </cell>
          <cell r="F525">
            <v>32000</v>
          </cell>
          <cell r="H525">
            <v>18562.75</v>
          </cell>
        </row>
        <row r="526">
          <cell r="B526">
            <v>38992</v>
          </cell>
          <cell r="F526">
            <v>20000</v>
          </cell>
          <cell r="H526">
            <v>7747.74</v>
          </cell>
        </row>
        <row r="527">
          <cell r="B527">
            <v>38993</v>
          </cell>
          <cell r="F527">
            <v>0</v>
          </cell>
          <cell r="H527">
            <v>0</v>
          </cell>
        </row>
        <row r="528">
          <cell r="B528">
            <v>38995</v>
          </cell>
          <cell r="F528">
            <v>0</v>
          </cell>
          <cell r="H528">
            <v>0</v>
          </cell>
        </row>
        <row r="529">
          <cell r="B529">
            <v>38997</v>
          </cell>
          <cell r="F529">
            <v>7000</v>
          </cell>
          <cell r="H529">
            <v>4885.9799999999996</v>
          </cell>
        </row>
        <row r="530">
          <cell r="B530">
            <v>38998</v>
          </cell>
          <cell r="F530">
            <v>0</v>
          </cell>
          <cell r="H530">
            <v>0</v>
          </cell>
        </row>
        <row r="531">
          <cell r="B531">
            <v>39001</v>
          </cell>
          <cell r="F531">
            <v>500</v>
          </cell>
          <cell r="H531">
            <v>436.77</v>
          </cell>
        </row>
        <row r="532">
          <cell r="B532">
            <v>39002</v>
          </cell>
          <cell r="F532">
            <v>11200</v>
          </cell>
          <cell r="H532">
            <v>10267.15</v>
          </cell>
        </row>
        <row r="533">
          <cell r="B533">
            <v>39003</v>
          </cell>
          <cell r="F533">
            <v>0</v>
          </cell>
          <cell r="H533">
            <v>0</v>
          </cell>
        </row>
        <row r="534">
          <cell r="B534">
            <v>39004</v>
          </cell>
          <cell r="F534">
            <v>0</v>
          </cell>
          <cell r="H534">
            <v>34.78</v>
          </cell>
        </row>
        <row r="535">
          <cell r="B535">
            <v>39005</v>
          </cell>
          <cell r="F535">
            <v>3500</v>
          </cell>
          <cell r="H535">
            <v>1047.24</v>
          </cell>
        </row>
        <row r="536">
          <cell r="B536">
            <v>39006</v>
          </cell>
          <cell r="F536">
            <v>700</v>
          </cell>
          <cell r="H536">
            <v>467.67</v>
          </cell>
        </row>
        <row r="537">
          <cell r="B537">
            <v>39007</v>
          </cell>
          <cell r="F537">
            <v>4500</v>
          </cell>
          <cell r="H537">
            <v>5013.0600000000004</v>
          </cell>
        </row>
        <row r="538">
          <cell r="B538">
            <v>39008</v>
          </cell>
          <cell r="F538">
            <v>3000</v>
          </cell>
          <cell r="H538">
            <v>2481</v>
          </cell>
        </row>
        <row r="539">
          <cell r="B539">
            <v>39009</v>
          </cell>
          <cell r="F539">
            <v>3000</v>
          </cell>
          <cell r="H539">
            <v>3683.31</v>
          </cell>
        </row>
        <row r="540">
          <cell r="B540">
            <v>39010</v>
          </cell>
          <cell r="F540">
            <v>200</v>
          </cell>
          <cell r="H540">
            <v>150.87</v>
          </cell>
        </row>
        <row r="541">
          <cell r="B541">
            <v>39011</v>
          </cell>
          <cell r="F541">
            <v>200</v>
          </cell>
          <cell r="H541">
            <v>0</v>
          </cell>
        </row>
        <row r="542">
          <cell r="B542">
            <v>39012</v>
          </cell>
          <cell r="F542">
            <v>0</v>
          </cell>
          <cell r="H542">
            <v>0</v>
          </cell>
        </row>
        <row r="543">
          <cell r="B543">
            <v>39013</v>
          </cell>
          <cell r="F543">
            <v>1500</v>
          </cell>
          <cell r="H543">
            <v>1670.97</v>
          </cell>
        </row>
        <row r="544">
          <cell r="B544">
            <v>39014</v>
          </cell>
          <cell r="F544">
            <v>2000</v>
          </cell>
          <cell r="H544">
            <v>716.34</v>
          </cell>
        </row>
        <row r="545">
          <cell r="B545">
            <v>39020</v>
          </cell>
          <cell r="F545">
            <v>200</v>
          </cell>
          <cell r="H545">
            <v>0</v>
          </cell>
        </row>
        <row r="546">
          <cell r="B546">
            <v>39030</v>
          </cell>
          <cell r="F546">
            <v>49690</v>
          </cell>
          <cell r="H546">
            <v>33594.769999999997</v>
          </cell>
        </row>
        <row r="547">
          <cell r="B547">
            <v>39031</v>
          </cell>
          <cell r="F547">
            <v>3000</v>
          </cell>
          <cell r="H547">
            <v>1531.76</v>
          </cell>
        </row>
        <row r="548">
          <cell r="B548">
            <v>39032</v>
          </cell>
          <cell r="F548">
            <v>2500</v>
          </cell>
          <cell r="H548">
            <v>1233.54</v>
          </cell>
        </row>
        <row r="549">
          <cell r="B549">
            <v>39033</v>
          </cell>
          <cell r="F549">
            <v>0</v>
          </cell>
          <cell r="H549">
            <v>0</v>
          </cell>
        </row>
        <row r="550">
          <cell r="B550">
            <v>39034</v>
          </cell>
          <cell r="F550">
            <v>13500</v>
          </cell>
          <cell r="H550">
            <v>13734.43</v>
          </cell>
        </row>
        <row r="551">
          <cell r="B551">
            <v>39051</v>
          </cell>
          <cell r="F551">
            <v>1800</v>
          </cell>
          <cell r="H551">
            <v>1317.8</v>
          </cell>
        </row>
        <row r="552">
          <cell r="B552">
            <v>39052</v>
          </cell>
          <cell r="F552">
            <v>14700</v>
          </cell>
          <cell r="H552">
            <v>14637.81</v>
          </cell>
        </row>
        <row r="553">
          <cell r="B553">
            <v>39053</v>
          </cell>
          <cell r="F553">
            <v>0</v>
          </cell>
          <cell r="H553">
            <v>0</v>
          </cell>
        </row>
        <row r="554">
          <cell r="B554">
            <v>39054</v>
          </cell>
          <cell r="F554">
            <v>0</v>
          </cell>
          <cell r="H554">
            <v>0</v>
          </cell>
        </row>
        <row r="555">
          <cell r="B555">
            <v>39055</v>
          </cell>
          <cell r="F555">
            <v>15000</v>
          </cell>
          <cell r="H555">
            <v>15516.6</v>
          </cell>
        </row>
        <row r="556">
          <cell r="B556">
            <v>39056</v>
          </cell>
          <cell r="F556">
            <v>1000</v>
          </cell>
          <cell r="H556">
            <v>453.02</v>
          </cell>
        </row>
        <row r="557">
          <cell r="B557">
            <v>39057</v>
          </cell>
          <cell r="F557">
            <v>3500</v>
          </cell>
          <cell r="H557">
            <v>5010.53</v>
          </cell>
        </row>
        <row r="558">
          <cell r="B558">
            <v>39058</v>
          </cell>
          <cell r="F558">
            <v>4700</v>
          </cell>
          <cell r="H558">
            <v>3650.82</v>
          </cell>
        </row>
        <row r="559">
          <cell r="B559">
            <v>39059</v>
          </cell>
          <cell r="F559">
            <v>3000</v>
          </cell>
          <cell r="H559">
            <v>2711.58</v>
          </cell>
        </row>
        <row r="560">
          <cell r="B560">
            <v>39060</v>
          </cell>
          <cell r="F560">
            <v>750</v>
          </cell>
          <cell r="H560">
            <v>394.85</v>
          </cell>
        </row>
        <row r="561">
          <cell r="B561">
            <v>39061</v>
          </cell>
          <cell r="F561">
            <v>200</v>
          </cell>
          <cell r="H561">
            <v>0</v>
          </cell>
        </row>
        <row r="562">
          <cell r="B562">
            <v>39062</v>
          </cell>
          <cell r="F562">
            <v>750</v>
          </cell>
          <cell r="H562">
            <v>659.28</v>
          </cell>
        </row>
        <row r="563">
          <cell r="B563">
            <v>39063</v>
          </cell>
          <cell r="F563">
            <v>750</v>
          </cell>
          <cell r="H563">
            <v>726.57</v>
          </cell>
        </row>
        <row r="564">
          <cell r="B564">
            <v>39064</v>
          </cell>
          <cell r="F564">
            <v>200</v>
          </cell>
          <cell r="H564">
            <v>0</v>
          </cell>
        </row>
        <row r="565">
          <cell r="B565">
            <v>39080</v>
          </cell>
          <cell r="F565">
            <v>95857</v>
          </cell>
          <cell r="H565">
            <v>89847.26</v>
          </cell>
        </row>
        <row r="566">
          <cell r="B566">
            <v>39081</v>
          </cell>
          <cell r="F566">
            <v>4500</v>
          </cell>
          <cell r="H566">
            <v>2414.5700000000002</v>
          </cell>
        </row>
        <row r="567">
          <cell r="B567">
            <v>39082</v>
          </cell>
          <cell r="F567">
            <v>14000</v>
          </cell>
          <cell r="H567">
            <v>12573.66</v>
          </cell>
        </row>
        <row r="568">
          <cell r="B568">
            <v>39083</v>
          </cell>
          <cell r="F568">
            <v>0</v>
          </cell>
          <cell r="H568">
            <v>0</v>
          </cell>
        </row>
        <row r="569">
          <cell r="B569">
            <v>39084</v>
          </cell>
          <cell r="F569">
            <v>10000</v>
          </cell>
          <cell r="H569">
            <v>9719.75</v>
          </cell>
        </row>
        <row r="570">
          <cell r="B570">
            <v>39085</v>
          </cell>
          <cell r="F570">
            <v>0</v>
          </cell>
          <cell r="H570">
            <v>0</v>
          </cell>
        </row>
        <row r="571">
          <cell r="B571">
            <v>39086</v>
          </cell>
          <cell r="F571">
            <v>0</v>
          </cell>
          <cell r="H571">
            <v>0</v>
          </cell>
        </row>
        <row r="572">
          <cell r="B572">
            <v>39101</v>
          </cell>
          <cell r="F572">
            <v>250</v>
          </cell>
          <cell r="H572">
            <v>221.45</v>
          </cell>
        </row>
        <row r="573">
          <cell r="B573">
            <v>39102</v>
          </cell>
          <cell r="F573">
            <v>5500</v>
          </cell>
          <cell r="H573">
            <v>4897.1099999999997</v>
          </cell>
        </row>
        <row r="574">
          <cell r="B574">
            <v>39103</v>
          </cell>
          <cell r="F574">
            <v>0</v>
          </cell>
          <cell r="H574">
            <v>0</v>
          </cell>
        </row>
        <row r="575">
          <cell r="B575">
            <v>39104</v>
          </cell>
          <cell r="F575">
            <v>1800</v>
          </cell>
          <cell r="H575">
            <v>1578.28</v>
          </cell>
        </row>
        <row r="576">
          <cell r="B576">
            <v>39105</v>
          </cell>
          <cell r="F576">
            <v>3200</v>
          </cell>
          <cell r="H576">
            <v>2574.08</v>
          </cell>
        </row>
        <row r="577">
          <cell r="B577">
            <v>39106</v>
          </cell>
          <cell r="F577">
            <v>1000</v>
          </cell>
          <cell r="H577">
            <v>651.83000000000004</v>
          </cell>
        </row>
        <row r="578">
          <cell r="B578">
            <v>39107</v>
          </cell>
          <cell r="F578">
            <v>2000</v>
          </cell>
          <cell r="H578">
            <v>1161.31</v>
          </cell>
        </row>
        <row r="579">
          <cell r="B579">
            <v>39108</v>
          </cell>
          <cell r="F579">
            <v>1000</v>
          </cell>
          <cell r="H579">
            <v>840.41</v>
          </cell>
        </row>
        <row r="580">
          <cell r="B580">
            <v>39109</v>
          </cell>
          <cell r="F580">
            <v>4500</v>
          </cell>
          <cell r="H580">
            <v>4139.0600000000004</v>
          </cell>
        </row>
        <row r="581">
          <cell r="B581">
            <v>39110</v>
          </cell>
          <cell r="F581">
            <v>200</v>
          </cell>
          <cell r="H581">
            <v>0</v>
          </cell>
        </row>
        <row r="582">
          <cell r="B582">
            <v>39111</v>
          </cell>
          <cell r="F582">
            <v>300</v>
          </cell>
          <cell r="H582">
            <v>0</v>
          </cell>
        </row>
        <row r="583">
          <cell r="B583">
            <v>39112</v>
          </cell>
          <cell r="F583">
            <v>1500</v>
          </cell>
          <cell r="H583">
            <v>1066.56</v>
          </cell>
        </row>
        <row r="584">
          <cell r="B584">
            <v>39113</v>
          </cell>
          <cell r="F584">
            <v>0</v>
          </cell>
          <cell r="H584">
            <v>0</v>
          </cell>
        </row>
        <row r="585">
          <cell r="B585">
            <v>39115</v>
          </cell>
          <cell r="F585">
            <v>200</v>
          </cell>
          <cell r="H585">
            <v>203.46</v>
          </cell>
        </row>
        <row r="586">
          <cell r="B586">
            <v>39130</v>
          </cell>
          <cell r="F586">
            <v>18950</v>
          </cell>
          <cell r="H586">
            <v>15683.89</v>
          </cell>
        </row>
        <row r="587">
          <cell r="B587">
            <v>39131</v>
          </cell>
          <cell r="F587">
            <v>1500</v>
          </cell>
          <cell r="H587">
            <v>503.92</v>
          </cell>
        </row>
        <row r="588">
          <cell r="B588">
            <v>39132</v>
          </cell>
          <cell r="F588">
            <v>1000</v>
          </cell>
          <cell r="H588">
            <v>1246.6500000000001</v>
          </cell>
        </row>
        <row r="589">
          <cell r="B589">
            <v>39134</v>
          </cell>
          <cell r="F589">
            <v>4500</v>
          </cell>
          <cell r="H589">
            <v>4109.9799999999996</v>
          </cell>
        </row>
        <row r="590">
          <cell r="B590">
            <v>39135</v>
          </cell>
          <cell r="F590">
            <v>0</v>
          </cell>
          <cell r="H590">
            <v>0</v>
          </cell>
        </row>
        <row r="591">
          <cell r="B591">
            <v>39136</v>
          </cell>
          <cell r="F591">
            <v>0</v>
          </cell>
          <cell r="H591">
            <v>0</v>
          </cell>
        </row>
        <row r="592">
          <cell r="B592">
            <v>39151</v>
          </cell>
          <cell r="F592">
            <v>1000</v>
          </cell>
          <cell r="H592">
            <v>949.74</v>
          </cell>
        </row>
        <row r="593">
          <cell r="B593">
            <v>39152</v>
          </cell>
          <cell r="F593">
            <v>10500</v>
          </cell>
          <cell r="H593">
            <v>10327.879999999999</v>
          </cell>
        </row>
        <row r="594">
          <cell r="B594">
            <v>39153</v>
          </cell>
          <cell r="F594">
            <v>0</v>
          </cell>
          <cell r="H594">
            <v>0</v>
          </cell>
        </row>
        <row r="595">
          <cell r="B595">
            <v>39154</v>
          </cell>
          <cell r="F595">
            <v>0</v>
          </cell>
          <cell r="H595">
            <v>0</v>
          </cell>
        </row>
        <row r="596">
          <cell r="B596">
            <v>39155</v>
          </cell>
          <cell r="F596">
            <v>8500</v>
          </cell>
          <cell r="H596">
            <v>6826.33</v>
          </cell>
        </row>
        <row r="597">
          <cell r="B597">
            <v>39156</v>
          </cell>
          <cell r="F597">
            <v>1500</v>
          </cell>
          <cell r="H597">
            <v>1577.1</v>
          </cell>
        </row>
        <row r="598">
          <cell r="B598">
            <v>39157</v>
          </cell>
          <cell r="F598">
            <v>3800</v>
          </cell>
          <cell r="H598">
            <v>4622.1899999999996</v>
          </cell>
        </row>
        <row r="599">
          <cell r="B599">
            <v>39158</v>
          </cell>
          <cell r="F599">
            <v>1000</v>
          </cell>
          <cell r="H599">
            <v>948.32</v>
          </cell>
        </row>
        <row r="600">
          <cell r="B600">
            <v>39159</v>
          </cell>
          <cell r="F600">
            <v>4000</v>
          </cell>
          <cell r="H600">
            <v>2663.33</v>
          </cell>
        </row>
        <row r="601">
          <cell r="B601">
            <v>39160</v>
          </cell>
          <cell r="F601">
            <v>200</v>
          </cell>
          <cell r="H601">
            <v>0</v>
          </cell>
        </row>
        <row r="602">
          <cell r="B602">
            <v>39161</v>
          </cell>
          <cell r="F602">
            <v>200</v>
          </cell>
          <cell r="H602">
            <v>0</v>
          </cell>
        </row>
        <row r="603">
          <cell r="B603">
            <v>39162</v>
          </cell>
          <cell r="F603">
            <v>0</v>
          </cell>
          <cell r="H603">
            <v>0</v>
          </cell>
        </row>
        <row r="604">
          <cell r="B604">
            <v>39163</v>
          </cell>
          <cell r="F604">
            <v>1000</v>
          </cell>
          <cell r="H604">
            <v>583.29</v>
          </cell>
        </row>
        <row r="605">
          <cell r="B605">
            <v>39164</v>
          </cell>
          <cell r="F605">
            <v>1500</v>
          </cell>
          <cell r="H605">
            <v>1734.99</v>
          </cell>
        </row>
        <row r="606">
          <cell r="B606">
            <v>39165</v>
          </cell>
          <cell r="F606">
            <v>250</v>
          </cell>
          <cell r="H606">
            <v>305.58</v>
          </cell>
        </row>
        <row r="607">
          <cell r="B607">
            <v>39169</v>
          </cell>
          <cell r="F607">
            <v>200</v>
          </cell>
          <cell r="H607">
            <v>0</v>
          </cell>
        </row>
        <row r="608">
          <cell r="B608">
            <v>39170</v>
          </cell>
          <cell r="F608">
            <v>0</v>
          </cell>
          <cell r="H608">
            <v>0</v>
          </cell>
        </row>
        <row r="609">
          <cell r="B609">
            <v>39180</v>
          </cell>
          <cell r="F609">
            <v>52573</v>
          </cell>
          <cell r="H609">
            <v>51804.78</v>
          </cell>
        </row>
        <row r="610">
          <cell r="B610">
            <v>39181</v>
          </cell>
          <cell r="F610">
            <v>3300</v>
          </cell>
          <cell r="H610">
            <v>1387.67</v>
          </cell>
        </row>
        <row r="611">
          <cell r="B611">
            <v>39182</v>
          </cell>
          <cell r="F611">
            <v>9000</v>
          </cell>
          <cell r="H611">
            <v>8911.01</v>
          </cell>
        </row>
        <row r="612">
          <cell r="B612">
            <v>39183</v>
          </cell>
          <cell r="F612">
            <v>0</v>
          </cell>
          <cell r="H612">
            <v>0</v>
          </cell>
        </row>
        <row r="613">
          <cell r="B613">
            <v>39184</v>
          </cell>
          <cell r="F613">
            <v>8500</v>
          </cell>
          <cell r="H613">
            <v>7756.55</v>
          </cell>
        </row>
        <row r="614">
          <cell r="B614">
            <v>39185</v>
          </cell>
          <cell r="F614">
            <v>0</v>
          </cell>
          <cell r="H614">
            <v>0</v>
          </cell>
        </row>
        <row r="615">
          <cell r="B615">
            <v>39201</v>
          </cell>
          <cell r="F615">
            <v>500</v>
          </cell>
          <cell r="H615">
            <v>627.44000000000005</v>
          </cell>
        </row>
        <row r="616">
          <cell r="B616">
            <v>39202</v>
          </cell>
          <cell r="F616">
            <v>5500</v>
          </cell>
          <cell r="H616">
            <v>3531.91</v>
          </cell>
        </row>
        <row r="617">
          <cell r="B617">
            <v>39203</v>
          </cell>
          <cell r="F617">
            <v>872</v>
          </cell>
          <cell r="H617">
            <v>-162.57</v>
          </cell>
        </row>
        <row r="618">
          <cell r="B618">
            <v>39204</v>
          </cell>
          <cell r="F618">
            <v>1000</v>
          </cell>
          <cell r="H618">
            <v>946.03</v>
          </cell>
        </row>
        <row r="619">
          <cell r="B619">
            <v>39205</v>
          </cell>
          <cell r="F619">
            <v>2200</v>
          </cell>
          <cell r="H619">
            <v>2173.91</v>
          </cell>
        </row>
        <row r="620">
          <cell r="B620">
            <v>39206</v>
          </cell>
          <cell r="F620">
            <v>450</v>
          </cell>
          <cell r="H620">
            <v>1911.52</v>
          </cell>
        </row>
        <row r="621">
          <cell r="B621">
            <v>39207</v>
          </cell>
          <cell r="F621">
            <v>2000</v>
          </cell>
          <cell r="H621">
            <v>2808.23</v>
          </cell>
        </row>
        <row r="622">
          <cell r="B622">
            <v>39208</v>
          </cell>
          <cell r="F622">
            <v>1000</v>
          </cell>
          <cell r="H622">
            <v>934.21</v>
          </cell>
        </row>
        <row r="623">
          <cell r="B623">
            <v>39209</v>
          </cell>
          <cell r="F623">
            <v>2500</v>
          </cell>
          <cell r="H623">
            <v>3622.87</v>
          </cell>
        </row>
        <row r="624">
          <cell r="B624">
            <v>39210</v>
          </cell>
          <cell r="F624">
            <v>100</v>
          </cell>
          <cell r="H624">
            <v>0</v>
          </cell>
        </row>
        <row r="625">
          <cell r="B625">
            <v>39211</v>
          </cell>
          <cell r="F625">
            <v>100</v>
          </cell>
          <cell r="H625">
            <v>0</v>
          </cell>
        </row>
        <row r="626">
          <cell r="B626">
            <v>39212</v>
          </cell>
          <cell r="F626">
            <v>0</v>
          </cell>
          <cell r="H626">
            <v>0</v>
          </cell>
        </row>
        <row r="627">
          <cell r="B627">
            <v>39214</v>
          </cell>
          <cell r="F627">
            <v>500</v>
          </cell>
          <cell r="H627">
            <v>249.96</v>
          </cell>
        </row>
        <row r="628">
          <cell r="B628">
            <v>39215</v>
          </cell>
          <cell r="F628">
            <v>200</v>
          </cell>
          <cell r="H628">
            <v>0</v>
          </cell>
        </row>
        <row r="629">
          <cell r="B629">
            <v>39230</v>
          </cell>
          <cell r="F629">
            <v>30395</v>
          </cell>
          <cell r="H629">
            <v>27267.16</v>
          </cell>
        </row>
        <row r="630">
          <cell r="B630">
            <v>39231</v>
          </cell>
          <cell r="F630">
            <v>1000</v>
          </cell>
          <cell r="H630">
            <v>323.22000000000003</v>
          </cell>
        </row>
        <row r="631">
          <cell r="B631">
            <v>39232</v>
          </cell>
          <cell r="F631">
            <v>250</v>
          </cell>
          <cell r="H631">
            <v>712.38</v>
          </cell>
        </row>
        <row r="632">
          <cell r="B632">
            <v>39234</v>
          </cell>
          <cell r="F632">
            <v>4000</v>
          </cell>
          <cell r="H632">
            <v>3250.98</v>
          </cell>
        </row>
        <row r="633">
          <cell r="B633">
            <v>39235</v>
          </cell>
          <cell r="F633">
            <v>0</v>
          </cell>
          <cell r="H633">
            <v>0</v>
          </cell>
        </row>
        <row r="634">
          <cell r="B634">
            <v>39251</v>
          </cell>
          <cell r="F634">
            <v>600</v>
          </cell>
          <cell r="H634">
            <v>555.08000000000004</v>
          </cell>
        </row>
        <row r="635">
          <cell r="B635">
            <v>39252</v>
          </cell>
          <cell r="F635">
            <v>8000</v>
          </cell>
          <cell r="H635">
            <v>8027.93</v>
          </cell>
        </row>
        <row r="636">
          <cell r="B636">
            <v>39253</v>
          </cell>
          <cell r="F636">
            <v>0</v>
          </cell>
          <cell r="H636">
            <v>0</v>
          </cell>
        </row>
        <row r="637">
          <cell r="B637">
            <v>39254</v>
          </cell>
          <cell r="F637">
            <v>0</v>
          </cell>
          <cell r="H637">
            <v>0</v>
          </cell>
        </row>
        <row r="638">
          <cell r="B638">
            <v>39255</v>
          </cell>
          <cell r="F638">
            <v>5200</v>
          </cell>
          <cell r="H638">
            <v>4542.3900000000003</v>
          </cell>
        </row>
        <row r="639">
          <cell r="B639">
            <v>39256</v>
          </cell>
          <cell r="F639">
            <v>500</v>
          </cell>
          <cell r="H639">
            <v>225</v>
          </cell>
        </row>
        <row r="640">
          <cell r="B640">
            <v>39257</v>
          </cell>
          <cell r="F640">
            <v>4300</v>
          </cell>
          <cell r="H640">
            <v>4656.03</v>
          </cell>
        </row>
        <row r="641">
          <cell r="B641">
            <v>39258</v>
          </cell>
          <cell r="F641">
            <v>1500</v>
          </cell>
          <cell r="H641">
            <v>1622.43</v>
          </cell>
        </row>
        <row r="642">
          <cell r="B642">
            <v>39259</v>
          </cell>
          <cell r="F642">
            <v>3000</v>
          </cell>
          <cell r="H642">
            <v>2852.68</v>
          </cell>
        </row>
        <row r="643">
          <cell r="B643">
            <v>39260</v>
          </cell>
          <cell r="F643">
            <v>100</v>
          </cell>
          <cell r="H643">
            <v>65.790000000000006</v>
          </cell>
        </row>
        <row r="644">
          <cell r="B644">
            <v>39261</v>
          </cell>
          <cell r="F644">
            <v>110</v>
          </cell>
          <cell r="H644">
            <v>0</v>
          </cell>
        </row>
        <row r="645">
          <cell r="B645">
            <v>39262</v>
          </cell>
          <cell r="F645">
            <v>0</v>
          </cell>
          <cell r="H645">
            <v>0</v>
          </cell>
        </row>
        <row r="646">
          <cell r="B646">
            <v>39263</v>
          </cell>
          <cell r="F646">
            <v>750</v>
          </cell>
          <cell r="H646">
            <v>3575.21</v>
          </cell>
        </row>
        <row r="647">
          <cell r="B647">
            <v>39264</v>
          </cell>
          <cell r="F647">
            <v>200</v>
          </cell>
          <cell r="H647">
            <v>85.73</v>
          </cell>
        </row>
        <row r="648">
          <cell r="B648">
            <v>39265</v>
          </cell>
          <cell r="F648">
            <v>0</v>
          </cell>
          <cell r="H648">
            <v>0</v>
          </cell>
        </row>
        <row r="649">
          <cell r="B649">
            <v>39280</v>
          </cell>
          <cell r="F649">
            <v>44777</v>
          </cell>
          <cell r="H649">
            <v>41481.620000000003</v>
          </cell>
        </row>
        <row r="650">
          <cell r="B650">
            <v>39281</v>
          </cell>
          <cell r="F650">
            <v>1500</v>
          </cell>
          <cell r="H650">
            <v>536.66999999999996</v>
          </cell>
        </row>
        <row r="651">
          <cell r="B651">
            <v>39282</v>
          </cell>
          <cell r="F651">
            <v>3500</v>
          </cell>
          <cell r="H651">
            <v>2894.54</v>
          </cell>
        </row>
        <row r="652">
          <cell r="B652">
            <v>39283</v>
          </cell>
          <cell r="F652">
            <v>0</v>
          </cell>
          <cell r="H652">
            <v>0</v>
          </cell>
        </row>
        <row r="653">
          <cell r="B653">
            <v>39284</v>
          </cell>
          <cell r="F653">
            <v>7000</v>
          </cell>
          <cell r="H653">
            <v>6251.41</v>
          </cell>
        </row>
        <row r="654">
          <cell r="B654">
            <v>39285</v>
          </cell>
          <cell r="F654">
            <v>0</v>
          </cell>
          <cell r="H654">
            <v>0</v>
          </cell>
        </row>
        <row r="655">
          <cell r="B655">
            <v>39301</v>
          </cell>
          <cell r="F655">
            <v>1100</v>
          </cell>
          <cell r="H655">
            <v>999.96</v>
          </cell>
        </row>
        <row r="656">
          <cell r="B656">
            <v>39302</v>
          </cell>
          <cell r="F656">
            <v>8700</v>
          </cell>
          <cell r="H656">
            <v>7000.74</v>
          </cell>
        </row>
        <row r="657">
          <cell r="B657">
            <v>39303</v>
          </cell>
          <cell r="F657">
            <v>0</v>
          </cell>
          <cell r="H657">
            <v>0</v>
          </cell>
        </row>
        <row r="658">
          <cell r="B658">
            <v>39304</v>
          </cell>
          <cell r="F658">
            <v>0</v>
          </cell>
          <cell r="H658">
            <v>0</v>
          </cell>
        </row>
        <row r="659">
          <cell r="B659">
            <v>39305</v>
          </cell>
          <cell r="F659">
            <v>4200</v>
          </cell>
          <cell r="H659">
            <v>3984.5</v>
          </cell>
        </row>
        <row r="660">
          <cell r="B660">
            <v>39306</v>
          </cell>
          <cell r="F660">
            <v>850</v>
          </cell>
          <cell r="H660">
            <v>992.3</v>
          </cell>
        </row>
        <row r="661">
          <cell r="B661">
            <v>39307</v>
          </cell>
          <cell r="F661">
            <v>5000</v>
          </cell>
          <cell r="H661">
            <v>5514.72</v>
          </cell>
        </row>
        <row r="662">
          <cell r="B662">
            <v>39308</v>
          </cell>
          <cell r="F662">
            <v>600</v>
          </cell>
          <cell r="H662">
            <v>658.52</v>
          </cell>
        </row>
        <row r="663">
          <cell r="B663">
            <v>39309</v>
          </cell>
          <cell r="F663">
            <v>7000</v>
          </cell>
          <cell r="H663">
            <v>6886.67</v>
          </cell>
        </row>
        <row r="664">
          <cell r="B664">
            <v>39311</v>
          </cell>
          <cell r="F664">
            <v>110</v>
          </cell>
          <cell r="H664">
            <v>0</v>
          </cell>
        </row>
        <row r="665">
          <cell r="B665">
            <v>39312</v>
          </cell>
          <cell r="F665">
            <v>0</v>
          </cell>
          <cell r="H665">
            <v>0</v>
          </cell>
        </row>
        <row r="666">
          <cell r="B666">
            <v>39313</v>
          </cell>
          <cell r="F666">
            <v>3000</v>
          </cell>
          <cell r="H666">
            <v>1586.24</v>
          </cell>
        </row>
        <row r="667">
          <cell r="B667">
            <v>39314</v>
          </cell>
          <cell r="F667">
            <v>750</v>
          </cell>
          <cell r="H667">
            <v>456.86</v>
          </cell>
        </row>
        <row r="668">
          <cell r="B668">
            <v>39315</v>
          </cell>
          <cell r="F668">
            <v>200</v>
          </cell>
          <cell r="H668">
            <v>352.83</v>
          </cell>
        </row>
        <row r="669">
          <cell r="B669">
            <v>39330</v>
          </cell>
          <cell r="F669">
            <v>35530</v>
          </cell>
          <cell r="H669">
            <v>28170.080000000002</v>
          </cell>
        </row>
        <row r="670">
          <cell r="B670">
            <v>39331</v>
          </cell>
          <cell r="F670">
            <v>2000</v>
          </cell>
          <cell r="H670">
            <v>617.22</v>
          </cell>
        </row>
        <row r="671">
          <cell r="B671">
            <v>39332</v>
          </cell>
          <cell r="F671">
            <v>4000</v>
          </cell>
          <cell r="H671">
            <v>2667.09</v>
          </cell>
        </row>
        <row r="672">
          <cell r="B672">
            <v>39333</v>
          </cell>
          <cell r="F672">
            <v>800</v>
          </cell>
          <cell r="H672">
            <v>43.48</v>
          </cell>
        </row>
        <row r="673">
          <cell r="B673">
            <v>39334</v>
          </cell>
          <cell r="F673">
            <v>10000</v>
          </cell>
          <cell r="H673">
            <v>10277.48</v>
          </cell>
        </row>
        <row r="674">
          <cell r="B674">
            <v>39335</v>
          </cell>
          <cell r="F674">
            <v>0</v>
          </cell>
          <cell r="H674">
            <v>0</v>
          </cell>
        </row>
        <row r="675">
          <cell r="B675">
            <v>39336</v>
          </cell>
          <cell r="F675">
            <v>0</v>
          </cell>
          <cell r="H675">
            <v>0</v>
          </cell>
        </row>
        <row r="676">
          <cell r="B676">
            <v>39351</v>
          </cell>
          <cell r="F676">
            <v>1000</v>
          </cell>
          <cell r="H676">
            <v>1026.18</v>
          </cell>
        </row>
        <row r="677">
          <cell r="B677">
            <v>39352</v>
          </cell>
          <cell r="F677">
            <v>6800</v>
          </cell>
          <cell r="H677">
            <v>5690.15</v>
          </cell>
        </row>
        <row r="678">
          <cell r="B678">
            <v>39353</v>
          </cell>
          <cell r="F678">
            <v>0</v>
          </cell>
          <cell r="H678">
            <v>0</v>
          </cell>
        </row>
        <row r="679">
          <cell r="B679">
            <v>39354</v>
          </cell>
          <cell r="F679">
            <v>0</v>
          </cell>
          <cell r="H679">
            <v>0</v>
          </cell>
        </row>
        <row r="680">
          <cell r="B680">
            <v>39355</v>
          </cell>
          <cell r="F680">
            <v>2650</v>
          </cell>
          <cell r="H680">
            <v>1732.94</v>
          </cell>
        </row>
        <row r="681">
          <cell r="B681">
            <v>39356</v>
          </cell>
          <cell r="F681">
            <v>500</v>
          </cell>
          <cell r="H681">
            <v>145.36000000000001</v>
          </cell>
        </row>
        <row r="682">
          <cell r="B682">
            <v>39357</v>
          </cell>
          <cell r="F682">
            <v>2200</v>
          </cell>
          <cell r="H682">
            <v>3571.67</v>
          </cell>
        </row>
        <row r="683">
          <cell r="B683">
            <v>39358</v>
          </cell>
          <cell r="F683">
            <v>1500</v>
          </cell>
          <cell r="H683">
            <v>1590.86</v>
          </cell>
        </row>
        <row r="684">
          <cell r="B684">
            <v>39359</v>
          </cell>
          <cell r="F684">
            <v>3000</v>
          </cell>
          <cell r="H684">
            <v>4097.68</v>
          </cell>
        </row>
        <row r="685">
          <cell r="B685">
            <v>39360</v>
          </cell>
          <cell r="F685">
            <v>150</v>
          </cell>
          <cell r="H685">
            <v>0</v>
          </cell>
        </row>
        <row r="686">
          <cell r="B686">
            <v>39361</v>
          </cell>
          <cell r="F686">
            <v>100</v>
          </cell>
          <cell r="H686">
            <v>0</v>
          </cell>
        </row>
        <row r="687">
          <cell r="B687">
            <v>39363</v>
          </cell>
          <cell r="F687">
            <v>2000</v>
          </cell>
          <cell r="H687">
            <v>1577.01</v>
          </cell>
        </row>
        <row r="688">
          <cell r="B688">
            <v>39365</v>
          </cell>
          <cell r="F688">
            <v>200</v>
          </cell>
          <cell r="H688">
            <v>82.17</v>
          </cell>
        </row>
        <row r="689">
          <cell r="B689">
            <v>39380</v>
          </cell>
          <cell r="F689">
            <v>35921</v>
          </cell>
          <cell r="H689">
            <v>30865.38</v>
          </cell>
        </row>
        <row r="690">
          <cell r="B690">
            <v>39381</v>
          </cell>
          <cell r="F690">
            <v>2500</v>
          </cell>
          <cell r="H690">
            <v>1004.17</v>
          </cell>
        </row>
        <row r="691">
          <cell r="B691">
            <v>39382</v>
          </cell>
          <cell r="F691">
            <v>1500</v>
          </cell>
          <cell r="H691">
            <v>942.27</v>
          </cell>
        </row>
        <row r="692">
          <cell r="B692">
            <v>39383</v>
          </cell>
          <cell r="F692">
            <v>0</v>
          </cell>
          <cell r="H692">
            <v>0</v>
          </cell>
        </row>
        <row r="693">
          <cell r="B693">
            <v>39384</v>
          </cell>
          <cell r="F693">
            <v>4000</v>
          </cell>
          <cell r="H693">
            <v>3207.79</v>
          </cell>
        </row>
        <row r="694">
          <cell r="B694">
            <v>39385</v>
          </cell>
          <cell r="F694">
            <v>0</v>
          </cell>
          <cell r="H694">
            <v>0</v>
          </cell>
        </row>
        <row r="695">
          <cell r="B695">
            <v>39386</v>
          </cell>
          <cell r="F695">
            <v>0</v>
          </cell>
          <cell r="H695">
            <v>0</v>
          </cell>
        </row>
        <row r="696">
          <cell r="B696">
            <v>39400</v>
          </cell>
          <cell r="F696">
            <v>600</v>
          </cell>
          <cell r="H696">
            <v>482.23</v>
          </cell>
        </row>
        <row r="697">
          <cell r="B697">
            <v>39405</v>
          </cell>
          <cell r="F697">
            <v>5500</v>
          </cell>
          <cell r="H697">
            <v>2899.87</v>
          </cell>
        </row>
        <row r="698">
          <cell r="B698">
            <v>39410</v>
          </cell>
          <cell r="F698">
            <v>0</v>
          </cell>
          <cell r="H698">
            <v>0</v>
          </cell>
        </row>
        <row r="699">
          <cell r="B699">
            <v>39415</v>
          </cell>
          <cell r="F699">
            <v>0</v>
          </cell>
          <cell r="H699">
            <v>132.52000000000001</v>
          </cell>
        </row>
        <row r="700">
          <cell r="B700">
            <v>39420</v>
          </cell>
          <cell r="F700">
            <v>4359</v>
          </cell>
          <cell r="H700">
            <v>2173.92</v>
          </cell>
        </row>
        <row r="701">
          <cell r="B701">
            <v>39425</v>
          </cell>
          <cell r="F701">
            <v>350</v>
          </cell>
          <cell r="H701">
            <v>224.83</v>
          </cell>
        </row>
        <row r="702">
          <cell r="B702">
            <v>39430</v>
          </cell>
          <cell r="F702">
            <v>800</v>
          </cell>
          <cell r="H702">
            <v>665.43</v>
          </cell>
        </row>
        <row r="703">
          <cell r="B703">
            <v>39435</v>
          </cell>
          <cell r="F703">
            <v>1000</v>
          </cell>
          <cell r="H703">
            <v>838.04</v>
          </cell>
        </row>
        <row r="704">
          <cell r="B704">
            <v>39440</v>
          </cell>
          <cell r="F704">
            <v>200</v>
          </cell>
          <cell r="H704">
            <v>282.61</v>
          </cell>
        </row>
        <row r="705">
          <cell r="B705">
            <v>39445</v>
          </cell>
          <cell r="F705">
            <v>0</v>
          </cell>
          <cell r="H705">
            <v>0</v>
          </cell>
        </row>
        <row r="706">
          <cell r="B706">
            <v>39450</v>
          </cell>
          <cell r="F706">
            <v>100</v>
          </cell>
          <cell r="H706">
            <v>0</v>
          </cell>
        </row>
        <row r="707">
          <cell r="B707">
            <v>39460</v>
          </cell>
          <cell r="F707">
            <v>1000</v>
          </cell>
          <cell r="H707">
            <v>1123.6500000000001</v>
          </cell>
        </row>
        <row r="708">
          <cell r="B708">
            <v>39465</v>
          </cell>
          <cell r="F708">
            <v>2500</v>
          </cell>
          <cell r="H708">
            <v>3406.64</v>
          </cell>
        </row>
        <row r="709">
          <cell r="B709">
            <v>39470</v>
          </cell>
          <cell r="F709">
            <v>200</v>
          </cell>
          <cell r="H709">
            <v>0</v>
          </cell>
        </row>
        <row r="710">
          <cell r="B710">
            <v>39500</v>
          </cell>
          <cell r="F710">
            <v>23220</v>
          </cell>
          <cell r="H710">
            <v>21972.89</v>
          </cell>
        </row>
        <row r="711">
          <cell r="B711">
            <v>39505</v>
          </cell>
          <cell r="F711">
            <v>1000</v>
          </cell>
          <cell r="H711">
            <v>758.16</v>
          </cell>
        </row>
        <row r="712">
          <cell r="B712">
            <v>39510</v>
          </cell>
          <cell r="F712">
            <v>5500</v>
          </cell>
          <cell r="H712">
            <v>6064.45</v>
          </cell>
        </row>
        <row r="713">
          <cell r="B713">
            <v>39515</v>
          </cell>
          <cell r="F713">
            <v>0</v>
          </cell>
          <cell r="H713">
            <v>0</v>
          </cell>
        </row>
        <row r="714">
          <cell r="B714">
            <v>39520</v>
          </cell>
          <cell r="F714">
            <v>4000</v>
          </cell>
          <cell r="H714">
            <v>3981.35</v>
          </cell>
        </row>
        <row r="715">
          <cell r="B715">
            <v>39525</v>
          </cell>
          <cell r="F715">
            <v>0</v>
          </cell>
          <cell r="H715">
            <v>0</v>
          </cell>
        </row>
        <row r="716">
          <cell r="B716">
            <v>3999</v>
          </cell>
          <cell r="F716">
            <v>0</v>
          </cell>
          <cell r="H716">
            <v>0</v>
          </cell>
        </row>
        <row r="717">
          <cell r="B717">
            <v>46000</v>
          </cell>
          <cell r="F717">
            <v>27086</v>
          </cell>
          <cell r="H717">
            <v>25440</v>
          </cell>
        </row>
        <row r="718">
          <cell r="B718">
            <v>46040</v>
          </cell>
          <cell r="F718">
            <v>8720</v>
          </cell>
          <cell r="H718">
            <v>8592</v>
          </cell>
        </row>
        <row r="719">
          <cell r="B719">
            <v>46060</v>
          </cell>
          <cell r="F719">
            <v>22253</v>
          </cell>
          <cell r="H719">
            <v>19061.150000000001</v>
          </cell>
        </row>
        <row r="720">
          <cell r="B720">
            <v>46080</v>
          </cell>
          <cell r="F720">
            <v>16480</v>
          </cell>
          <cell r="H720">
            <v>4010</v>
          </cell>
        </row>
        <row r="721">
          <cell r="B721">
            <v>46100</v>
          </cell>
          <cell r="F721">
            <v>8960</v>
          </cell>
          <cell r="H721">
            <v>13513.65</v>
          </cell>
        </row>
        <row r="722">
          <cell r="B722">
            <v>46160</v>
          </cell>
          <cell r="F722">
            <v>500</v>
          </cell>
          <cell r="H722">
            <v>0</v>
          </cell>
        </row>
        <row r="723">
          <cell r="B723">
            <v>46180</v>
          </cell>
          <cell r="F723">
            <v>1500</v>
          </cell>
          <cell r="H723">
            <v>534.78</v>
          </cell>
        </row>
        <row r="724">
          <cell r="B724">
            <v>46190</v>
          </cell>
          <cell r="F724">
            <v>26000</v>
          </cell>
          <cell r="H724">
            <v>30132.89</v>
          </cell>
        </row>
        <row r="725">
          <cell r="B725">
            <v>46220</v>
          </cell>
          <cell r="F725">
            <v>2500</v>
          </cell>
          <cell r="H725">
            <v>2229.0300000000002</v>
          </cell>
        </row>
        <row r="726">
          <cell r="B726">
            <v>46240</v>
          </cell>
          <cell r="F726">
            <v>4600</v>
          </cell>
          <cell r="H726">
            <v>4585.6499999999996</v>
          </cell>
        </row>
        <row r="727">
          <cell r="B727">
            <v>46260</v>
          </cell>
          <cell r="F727">
            <v>7000</v>
          </cell>
          <cell r="H727">
            <v>12291.92</v>
          </cell>
        </row>
        <row r="728">
          <cell r="B728">
            <v>46300</v>
          </cell>
          <cell r="F728">
            <v>5000</v>
          </cell>
          <cell r="H728">
            <v>4508.3900000000003</v>
          </cell>
        </row>
        <row r="729">
          <cell r="B729">
            <v>46320</v>
          </cell>
          <cell r="F729">
            <v>6000</v>
          </cell>
          <cell r="H729">
            <v>5649.79</v>
          </cell>
        </row>
        <row r="730">
          <cell r="B730">
            <v>46360</v>
          </cell>
          <cell r="F730">
            <v>4500</v>
          </cell>
          <cell r="H730">
            <v>4755.45</v>
          </cell>
        </row>
        <row r="731">
          <cell r="B731">
            <v>46380</v>
          </cell>
          <cell r="F731">
            <v>350</v>
          </cell>
          <cell r="H731">
            <v>122.5</v>
          </cell>
        </row>
        <row r="732">
          <cell r="B732">
            <v>46400</v>
          </cell>
          <cell r="F732">
            <v>4000</v>
          </cell>
          <cell r="H732">
            <v>4906.99</v>
          </cell>
        </row>
        <row r="733">
          <cell r="B733">
            <v>46401</v>
          </cell>
          <cell r="F733">
            <v>500</v>
          </cell>
          <cell r="H733">
            <v>353.22</v>
          </cell>
        </row>
        <row r="734">
          <cell r="B734">
            <v>46520</v>
          </cell>
          <cell r="F734">
            <v>200</v>
          </cell>
          <cell r="H734">
            <v>106</v>
          </cell>
        </row>
        <row r="735">
          <cell r="B735">
            <v>46560</v>
          </cell>
          <cell r="F735">
            <v>0</v>
          </cell>
          <cell r="H735">
            <v>0</v>
          </cell>
        </row>
        <row r="736">
          <cell r="B736">
            <v>46570</v>
          </cell>
          <cell r="F736">
            <v>0</v>
          </cell>
          <cell r="H736">
            <v>0</v>
          </cell>
        </row>
        <row r="737">
          <cell r="B737">
            <v>46575</v>
          </cell>
          <cell r="F737">
            <v>0</v>
          </cell>
          <cell r="H737">
            <v>0</v>
          </cell>
        </row>
        <row r="738">
          <cell r="B738">
            <v>46580</v>
          </cell>
          <cell r="F738">
            <v>4500</v>
          </cell>
          <cell r="H738">
            <v>4427.03</v>
          </cell>
        </row>
        <row r="739">
          <cell r="B739">
            <v>46640</v>
          </cell>
          <cell r="F739">
            <v>17800</v>
          </cell>
          <cell r="H739">
            <v>17990.27</v>
          </cell>
        </row>
        <row r="740">
          <cell r="B740">
            <v>46644</v>
          </cell>
          <cell r="F740">
            <v>239610</v>
          </cell>
          <cell r="H740">
            <v>203003.95</v>
          </cell>
        </row>
        <row r="741">
          <cell r="B741">
            <v>46645</v>
          </cell>
          <cell r="F741">
            <v>3000</v>
          </cell>
          <cell r="H741">
            <v>0</v>
          </cell>
        </row>
        <row r="742">
          <cell r="B742">
            <v>46650</v>
          </cell>
          <cell r="F742">
            <v>0</v>
          </cell>
          <cell r="H742">
            <v>0</v>
          </cell>
        </row>
        <row r="743">
          <cell r="B743">
            <v>46655</v>
          </cell>
          <cell r="F743">
            <v>5470</v>
          </cell>
          <cell r="H743">
            <v>3546.9</v>
          </cell>
        </row>
        <row r="744">
          <cell r="B744">
            <v>46657</v>
          </cell>
          <cell r="F744">
            <v>36500</v>
          </cell>
          <cell r="H744">
            <v>0</v>
          </cell>
        </row>
        <row r="745">
          <cell r="B745">
            <v>46658</v>
          </cell>
          <cell r="F745">
            <v>0</v>
          </cell>
          <cell r="H745">
            <v>0</v>
          </cell>
        </row>
        <row r="746">
          <cell r="B746">
            <v>46660</v>
          </cell>
          <cell r="F746">
            <v>0</v>
          </cell>
          <cell r="H746">
            <v>0</v>
          </cell>
        </row>
        <row r="747">
          <cell r="B747">
            <v>46665</v>
          </cell>
          <cell r="F747">
            <v>1500</v>
          </cell>
          <cell r="H747">
            <v>91.83</v>
          </cell>
        </row>
        <row r="748">
          <cell r="B748">
            <v>46670</v>
          </cell>
          <cell r="F748">
            <v>700</v>
          </cell>
          <cell r="H748">
            <v>344</v>
          </cell>
        </row>
        <row r="749">
          <cell r="B749">
            <v>46675</v>
          </cell>
          <cell r="F749">
            <v>66000</v>
          </cell>
          <cell r="H749">
            <v>34491.730000000003</v>
          </cell>
        </row>
        <row r="750">
          <cell r="B750">
            <v>46680</v>
          </cell>
          <cell r="F750">
            <v>10000</v>
          </cell>
          <cell r="H750">
            <v>9593.8700000000008</v>
          </cell>
        </row>
        <row r="751">
          <cell r="B751">
            <v>46685</v>
          </cell>
          <cell r="F751">
            <v>5000</v>
          </cell>
          <cell r="H751">
            <v>2646.92</v>
          </cell>
        </row>
        <row r="752">
          <cell r="B752">
            <v>46690</v>
          </cell>
          <cell r="F752">
            <v>5000</v>
          </cell>
          <cell r="H752">
            <v>3077.21</v>
          </cell>
        </row>
        <row r="753">
          <cell r="B753">
            <v>46760</v>
          </cell>
          <cell r="F753">
            <v>0</v>
          </cell>
          <cell r="H753">
            <v>1100</v>
          </cell>
        </row>
        <row r="754">
          <cell r="B754">
            <v>46765</v>
          </cell>
          <cell r="F754">
            <v>750</v>
          </cell>
          <cell r="H754">
            <v>788.98</v>
          </cell>
        </row>
        <row r="755">
          <cell r="B755">
            <v>46770</v>
          </cell>
          <cell r="F755">
            <v>300</v>
          </cell>
          <cell r="H755">
            <v>131.61000000000001</v>
          </cell>
        </row>
        <row r="756">
          <cell r="B756">
            <v>46775</v>
          </cell>
          <cell r="F756">
            <v>250</v>
          </cell>
          <cell r="H756">
            <v>137.09</v>
          </cell>
        </row>
        <row r="757">
          <cell r="B757">
            <v>46780</v>
          </cell>
          <cell r="F757">
            <v>250</v>
          </cell>
          <cell r="H757">
            <v>306.55</v>
          </cell>
        </row>
        <row r="758">
          <cell r="B758">
            <v>46785</v>
          </cell>
          <cell r="F758">
            <v>108500</v>
          </cell>
          <cell r="H758">
            <v>0</v>
          </cell>
        </row>
        <row r="759">
          <cell r="B759">
            <v>46800</v>
          </cell>
          <cell r="F759">
            <v>5500</v>
          </cell>
          <cell r="H759">
            <v>813.04</v>
          </cell>
        </row>
        <row r="760">
          <cell r="B760">
            <v>46820</v>
          </cell>
          <cell r="F760">
            <v>500</v>
          </cell>
          <cell r="H760">
            <v>0</v>
          </cell>
        </row>
        <row r="761">
          <cell r="B761">
            <v>46860</v>
          </cell>
          <cell r="F761">
            <v>213908</v>
          </cell>
          <cell r="H761">
            <v>207155.17</v>
          </cell>
        </row>
        <row r="762">
          <cell r="B762">
            <v>46861</v>
          </cell>
          <cell r="F762">
            <v>0</v>
          </cell>
          <cell r="H762">
            <v>7855.54</v>
          </cell>
        </row>
        <row r="763">
          <cell r="B763">
            <v>46880</v>
          </cell>
          <cell r="F763">
            <v>3000</v>
          </cell>
          <cell r="H763">
            <v>310</v>
          </cell>
        </row>
        <row r="764">
          <cell r="B764">
            <v>46885</v>
          </cell>
          <cell r="F764">
            <v>0</v>
          </cell>
          <cell r="H764">
            <v>64111.77</v>
          </cell>
        </row>
        <row r="765">
          <cell r="B765">
            <v>46886</v>
          </cell>
          <cell r="F765">
            <v>3000</v>
          </cell>
          <cell r="H765">
            <v>3040</v>
          </cell>
        </row>
        <row r="766">
          <cell r="B766">
            <v>46888</v>
          </cell>
          <cell r="F766">
            <v>15000</v>
          </cell>
          <cell r="H766">
            <v>6171.83</v>
          </cell>
        </row>
        <row r="767">
          <cell r="B767">
            <v>46950</v>
          </cell>
          <cell r="F767">
            <v>450</v>
          </cell>
          <cell r="H767">
            <v>0</v>
          </cell>
        </row>
        <row r="768">
          <cell r="B768">
            <v>57000</v>
          </cell>
          <cell r="F768">
            <v>13500</v>
          </cell>
          <cell r="H768">
            <v>11674.44</v>
          </cell>
        </row>
        <row r="769">
          <cell r="B769">
            <v>57120</v>
          </cell>
          <cell r="F769">
            <v>11000</v>
          </cell>
          <cell r="H769">
            <v>11309.82</v>
          </cell>
        </row>
        <row r="770">
          <cell r="B770">
            <v>57130</v>
          </cell>
          <cell r="F770">
            <v>0</v>
          </cell>
          <cell r="H770">
            <v>0</v>
          </cell>
        </row>
        <row r="771">
          <cell r="B771">
            <v>57140</v>
          </cell>
          <cell r="F771">
            <v>0</v>
          </cell>
          <cell r="H771">
            <v>0</v>
          </cell>
        </row>
        <row r="772">
          <cell r="B772">
            <v>57200</v>
          </cell>
          <cell r="F772">
            <v>4000</v>
          </cell>
          <cell r="H772">
            <v>3983.62</v>
          </cell>
        </row>
        <row r="773">
          <cell r="B773">
            <v>57260</v>
          </cell>
          <cell r="F773">
            <v>8000</v>
          </cell>
          <cell r="H773">
            <v>21460.79</v>
          </cell>
        </row>
        <row r="774">
          <cell r="B774">
            <v>57270</v>
          </cell>
          <cell r="F774">
            <v>2200</v>
          </cell>
          <cell r="H774">
            <v>2674.65</v>
          </cell>
        </row>
        <row r="775">
          <cell r="B775">
            <v>57299</v>
          </cell>
          <cell r="F775">
            <v>3500</v>
          </cell>
          <cell r="H775">
            <v>5862.69</v>
          </cell>
        </row>
        <row r="776">
          <cell r="B776">
            <v>57320</v>
          </cell>
          <cell r="F776">
            <v>52000</v>
          </cell>
          <cell r="H776">
            <v>47590.36</v>
          </cell>
        </row>
        <row r="777">
          <cell r="B777">
            <v>57340</v>
          </cell>
          <cell r="F777">
            <v>62000</v>
          </cell>
          <cell r="H777">
            <v>67150.02</v>
          </cell>
        </row>
        <row r="778">
          <cell r="B778">
            <v>57360</v>
          </cell>
          <cell r="F778">
            <v>30000</v>
          </cell>
          <cell r="H778">
            <v>34765.14</v>
          </cell>
        </row>
        <row r="779">
          <cell r="B779">
            <v>57420</v>
          </cell>
          <cell r="F779">
            <v>197268</v>
          </cell>
          <cell r="H779">
            <v>195065.24</v>
          </cell>
        </row>
        <row r="780">
          <cell r="B780">
            <v>57485</v>
          </cell>
          <cell r="F780">
            <v>750</v>
          </cell>
          <cell r="H780">
            <v>620</v>
          </cell>
        </row>
        <row r="781">
          <cell r="B781">
            <v>57487</v>
          </cell>
          <cell r="F781">
            <v>400</v>
          </cell>
          <cell r="H781">
            <v>0</v>
          </cell>
        </row>
        <row r="782">
          <cell r="B782">
            <v>57600</v>
          </cell>
          <cell r="F782">
            <v>12000</v>
          </cell>
          <cell r="H782">
            <v>15700.72</v>
          </cell>
        </row>
        <row r="783">
          <cell r="B783">
            <v>57605</v>
          </cell>
          <cell r="F783">
            <v>8000</v>
          </cell>
          <cell r="H783">
            <v>8682.25</v>
          </cell>
        </row>
        <row r="784">
          <cell r="B784">
            <v>57610</v>
          </cell>
          <cell r="F784">
            <v>8994</v>
          </cell>
          <cell r="H784">
            <v>15811</v>
          </cell>
        </row>
        <row r="785">
          <cell r="B785">
            <v>57620</v>
          </cell>
          <cell r="F785">
            <v>0</v>
          </cell>
          <cell r="H785">
            <v>0</v>
          </cell>
        </row>
        <row r="786">
          <cell r="B786">
            <v>57630</v>
          </cell>
          <cell r="F786">
            <v>3500</v>
          </cell>
          <cell r="H786">
            <v>4884.57</v>
          </cell>
        </row>
        <row r="787">
          <cell r="B787">
            <v>57660</v>
          </cell>
          <cell r="F787">
            <v>20000</v>
          </cell>
          <cell r="H787">
            <v>33145.86</v>
          </cell>
        </row>
        <row r="788">
          <cell r="B788">
            <v>57665</v>
          </cell>
          <cell r="F788">
            <v>0</v>
          </cell>
          <cell r="H788">
            <v>0</v>
          </cell>
        </row>
        <row r="789">
          <cell r="B789">
            <v>57690</v>
          </cell>
          <cell r="F789">
            <v>1900</v>
          </cell>
          <cell r="H789">
            <v>0</v>
          </cell>
        </row>
        <row r="790">
          <cell r="B790">
            <v>57710</v>
          </cell>
          <cell r="F790">
            <v>2000</v>
          </cell>
          <cell r="H790">
            <v>4154.5</v>
          </cell>
        </row>
        <row r="791">
          <cell r="B791">
            <v>57740</v>
          </cell>
          <cell r="F791">
            <v>8000</v>
          </cell>
          <cell r="H791">
            <v>8966</v>
          </cell>
        </row>
        <row r="792">
          <cell r="B792">
            <v>57760</v>
          </cell>
          <cell r="F792">
            <v>0</v>
          </cell>
          <cell r="H792">
            <v>0</v>
          </cell>
        </row>
        <row r="793">
          <cell r="B793">
            <v>57850</v>
          </cell>
          <cell r="F793">
            <v>0</v>
          </cell>
          <cell r="H793">
            <v>0</v>
          </cell>
        </row>
        <row r="794">
          <cell r="B794">
            <v>58000</v>
          </cell>
          <cell r="F794">
            <v>2500</v>
          </cell>
          <cell r="H794">
            <v>2749.96</v>
          </cell>
        </row>
        <row r="795">
          <cell r="B795">
            <v>58020</v>
          </cell>
          <cell r="F795">
            <v>8000</v>
          </cell>
          <cell r="H795">
            <v>7340.63</v>
          </cell>
        </row>
        <row r="796">
          <cell r="B796">
            <v>60000</v>
          </cell>
          <cell r="F796">
            <v>646374</v>
          </cell>
          <cell r="H796">
            <v>560718.11</v>
          </cell>
        </row>
        <row r="797">
          <cell r="B797">
            <v>60100</v>
          </cell>
          <cell r="F797">
            <v>0</v>
          </cell>
          <cell r="H797">
            <v>0</v>
          </cell>
        </row>
        <row r="798">
          <cell r="B798">
            <v>60200</v>
          </cell>
          <cell r="F798">
            <v>50000</v>
          </cell>
          <cell r="H798">
            <v>12778.34</v>
          </cell>
        </row>
        <row r="799">
          <cell r="B799">
            <v>60210</v>
          </cell>
          <cell r="F799">
            <v>0</v>
          </cell>
          <cell r="H799">
            <v>0</v>
          </cell>
        </row>
        <row r="800">
          <cell r="B800">
            <v>60220</v>
          </cell>
          <cell r="F800">
            <v>0</v>
          </cell>
          <cell r="H800">
            <v>0</v>
          </cell>
        </row>
        <row r="801">
          <cell r="B801">
            <v>60230</v>
          </cell>
          <cell r="F801">
            <v>0</v>
          </cell>
          <cell r="H801">
            <v>0</v>
          </cell>
        </row>
        <row r="802">
          <cell r="B802">
            <v>60250</v>
          </cell>
          <cell r="F802">
            <v>35618</v>
          </cell>
          <cell r="H802">
            <v>33043.49</v>
          </cell>
        </row>
        <row r="803">
          <cell r="B803">
            <v>60300</v>
          </cell>
          <cell r="F803">
            <v>2820</v>
          </cell>
          <cell r="H803">
            <v>1579.13</v>
          </cell>
        </row>
        <row r="804">
          <cell r="B804">
            <v>60400</v>
          </cell>
          <cell r="F804">
            <v>5000</v>
          </cell>
          <cell r="H804">
            <v>4560.58</v>
          </cell>
        </row>
        <row r="805">
          <cell r="B805">
            <v>60450</v>
          </cell>
          <cell r="F805">
            <v>1500</v>
          </cell>
          <cell r="H805">
            <v>972.4</v>
          </cell>
        </row>
        <row r="806">
          <cell r="B806">
            <v>60500</v>
          </cell>
          <cell r="F806">
            <v>1000</v>
          </cell>
          <cell r="H806">
            <v>926.28</v>
          </cell>
        </row>
        <row r="807">
          <cell r="B807">
            <v>60550</v>
          </cell>
          <cell r="F807">
            <v>16000</v>
          </cell>
          <cell r="H807">
            <v>8456.59</v>
          </cell>
        </row>
        <row r="808">
          <cell r="B808">
            <v>60600</v>
          </cell>
          <cell r="F808">
            <v>500</v>
          </cell>
          <cell r="H808">
            <v>71.599999999999994</v>
          </cell>
        </row>
        <row r="809">
          <cell r="B809">
            <v>60700</v>
          </cell>
          <cell r="F809">
            <v>12000</v>
          </cell>
          <cell r="H809">
            <v>962.5</v>
          </cell>
        </row>
        <row r="810">
          <cell r="B810">
            <v>60750</v>
          </cell>
          <cell r="F810">
            <v>20000</v>
          </cell>
          <cell r="H810">
            <v>0</v>
          </cell>
        </row>
        <row r="811">
          <cell r="B811">
            <v>60800</v>
          </cell>
          <cell r="F811">
            <v>8000</v>
          </cell>
          <cell r="H811">
            <v>3214.62</v>
          </cell>
        </row>
        <row r="812">
          <cell r="B812">
            <v>60805</v>
          </cell>
          <cell r="F812">
            <v>4000</v>
          </cell>
          <cell r="H812">
            <v>3827.9</v>
          </cell>
        </row>
        <row r="813">
          <cell r="B813">
            <v>60810</v>
          </cell>
          <cell r="F813">
            <v>7000</v>
          </cell>
          <cell r="H813">
            <v>5492.41</v>
          </cell>
        </row>
        <row r="814">
          <cell r="B814">
            <v>60815</v>
          </cell>
          <cell r="F814">
            <v>7000</v>
          </cell>
          <cell r="H814">
            <v>6412.01</v>
          </cell>
        </row>
        <row r="815">
          <cell r="B815">
            <v>60820</v>
          </cell>
          <cell r="F815">
            <v>15000</v>
          </cell>
          <cell r="H815">
            <v>11979.38</v>
          </cell>
        </row>
        <row r="816">
          <cell r="B816">
            <v>60825</v>
          </cell>
          <cell r="F816">
            <v>0</v>
          </cell>
          <cell r="H816">
            <v>11529.52</v>
          </cell>
        </row>
        <row r="817">
          <cell r="B817">
            <v>60826</v>
          </cell>
          <cell r="F817">
            <v>4300</v>
          </cell>
          <cell r="H817">
            <v>0</v>
          </cell>
        </row>
        <row r="818">
          <cell r="B818">
            <v>60830</v>
          </cell>
          <cell r="F818">
            <v>6000</v>
          </cell>
          <cell r="H818">
            <v>4510.75</v>
          </cell>
        </row>
        <row r="819">
          <cell r="B819">
            <v>60850</v>
          </cell>
          <cell r="F819">
            <v>0</v>
          </cell>
          <cell r="H819">
            <v>0</v>
          </cell>
        </row>
        <row r="820">
          <cell r="B820">
            <v>60851</v>
          </cell>
          <cell r="F820">
            <v>0</v>
          </cell>
          <cell r="H820">
            <v>0</v>
          </cell>
        </row>
        <row r="821">
          <cell r="B821">
            <v>60855</v>
          </cell>
          <cell r="F821">
            <v>0</v>
          </cell>
          <cell r="H821">
            <v>0</v>
          </cell>
        </row>
        <row r="822">
          <cell r="B822">
            <v>60860</v>
          </cell>
          <cell r="F822">
            <v>0</v>
          </cell>
          <cell r="H822">
            <v>0</v>
          </cell>
        </row>
        <row r="823">
          <cell r="B823">
            <v>60865</v>
          </cell>
          <cell r="F823">
            <v>0</v>
          </cell>
          <cell r="H823">
            <v>34.94</v>
          </cell>
        </row>
        <row r="824">
          <cell r="B824">
            <v>60875</v>
          </cell>
          <cell r="F824">
            <v>0</v>
          </cell>
          <cell r="H824">
            <v>0</v>
          </cell>
        </row>
        <row r="825">
          <cell r="B825">
            <v>60876</v>
          </cell>
          <cell r="F825">
            <v>800</v>
          </cell>
          <cell r="H825">
            <v>483.21</v>
          </cell>
        </row>
        <row r="826">
          <cell r="B826">
            <v>61000</v>
          </cell>
          <cell r="F826">
            <v>4000</v>
          </cell>
          <cell r="H826">
            <v>48122.82</v>
          </cell>
        </row>
        <row r="827">
          <cell r="B827">
            <v>61100</v>
          </cell>
          <cell r="F827">
            <v>7000</v>
          </cell>
          <cell r="H827">
            <v>34736.25</v>
          </cell>
        </row>
        <row r="828">
          <cell r="B828">
            <v>61150</v>
          </cell>
          <cell r="F828">
            <v>11000</v>
          </cell>
          <cell r="H828">
            <v>0</v>
          </cell>
        </row>
        <row r="829">
          <cell r="B829">
            <v>61160</v>
          </cell>
          <cell r="F829">
            <v>0</v>
          </cell>
          <cell r="H829">
            <v>0</v>
          </cell>
        </row>
        <row r="830">
          <cell r="B830">
            <v>61170</v>
          </cell>
          <cell r="F830">
            <v>12000</v>
          </cell>
          <cell r="H830">
            <v>0</v>
          </cell>
        </row>
        <row r="831">
          <cell r="B831">
            <v>61175</v>
          </cell>
          <cell r="F831">
            <v>0</v>
          </cell>
          <cell r="H831">
            <v>0</v>
          </cell>
        </row>
        <row r="832">
          <cell r="B832">
            <v>61200</v>
          </cell>
          <cell r="F832">
            <v>2000</v>
          </cell>
          <cell r="H832">
            <v>300</v>
          </cell>
        </row>
        <row r="833">
          <cell r="B833">
            <v>61300</v>
          </cell>
          <cell r="F833">
            <v>15200</v>
          </cell>
          <cell r="H833">
            <v>6243.31</v>
          </cell>
        </row>
        <row r="834">
          <cell r="B834">
            <v>61400</v>
          </cell>
          <cell r="F834">
            <v>42000</v>
          </cell>
          <cell r="H834">
            <v>0</v>
          </cell>
        </row>
        <row r="835">
          <cell r="B835">
            <v>61500</v>
          </cell>
          <cell r="F835">
            <v>18000</v>
          </cell>
          <cell r="H835">
            <v>17217.39</v>
          </cell>
        </row>
        <row r="836">
          <cell r="B836">
            <v>61600</v>
          </cell>
          <cell r="F836">
            <v>1575</v>
          </cell>
          <cell r="H836">
            <v>1853.95</v>
          </cell>
        </row>
        <row r="837">
          <cell r="B837">
            <v>61700</v>
          </cell>
          <cell r="F837">
            <v>19500</v>
          </cell>
          <cell r="H837">
            <v>9236.92</v>
          </cell>
        </row>
        <row r="838">
          <cell r="B838">
            <v>61800</v>
          </cell>
          <cell r="F838">
            <v>27000</v>
          </cell>
          <cell r="H838">
            <v>5011.6400000000003</v>
          </cell>
        </row>
        <row r="839">
          <cell r="B839">
            <v>61900</v>
          </cell>
          <cell r="F839">
            <v>2000</v>
          </cell>
          <cell r="H839">
            <v>904.88</v>
          </cell>
        </row>
        <row r="840">
          <cell r="B840">
            <v>62000</v>
          </cell>
          <cell r="F840">
            <v>300</v>
          </cell>
          <cell r="H840">
            <v>188.05</v>
          </cell>
        </row>
        <row r="841">
          <cell r="B841">
            <v>62050</v>
          </cell>
          <cell r="F841">
            <v>650</v>
          </cell>
          <cell r="H841">
            <v>567.32000000000005</v>
          </cell>
        </row>
        <row r="842">
          <cell r="B842">
            <v>62100</v>
          </cell>
          <cell r="F842">
            <v>9000</v>
          </cell>
          <cell r="H842">
            <v>9066.2099999999991</v>
          </cell>
        </row>
        <row r="843">
          <cell r="B843">
            <v>62150</v>
          </cell>
          <cell r="F843">
            <v>0</v>
          </cell>
          <cell r="H843">
            <v>0</v>
          </cell>
        </row>
        <row r="844">
          <cell r="B844">
            <v>62200</v>
          </cell>
          <cell r="F844">
            <v>750</v>
          </cell>
          <cell r="H844">
            <v>661.17</v>
          </cell>
        </row>
        <row r="845">
          <cell r="B845">
            <v>62250</v>
          </cell>
          <cell r="F845">
            <v>4000</v>
          </cell>
          <cell r="H845">
            <v>6618.77</v>
          </cell>
        </row>
        <row r="846">
          <cell r="B846">
            <v>62300</v>
          </cell>
          <cell r="F846">
            <v>3500</v>
          </cell>
          <cell r="H846">
            <v>2882.91</v>
          </cell>
        </row>
        <row r="847">
          <cell r="B847">
            <v>62350</v>
          </cell>
          <cell r="F847">
            <v>5800</v>
          </cell>
          <cell r="H847">
            <v>5831.63</v>
          </cell>
        </row>
        <row r="848">
          <cell r="B848">
            <v>62360</v>
          </cell>
          <cell r="F848">
            <v>300</v>
          </cell>
          <cell r="H848">
            <v>223.03</v>
          </cell>
        </row>
        <row r="849">
          <cell r="B849">
            <v>62400</v>
          </cell>
          <cell r="F849">
            <v>300</v>
          </cell>
          <cell r="H849">
            <v>95.65</v>
          </cell>
        </row>
        <row r="850">
          <cell r="B850">
            <v>62450</v>
          </cell>
          <cell r="F850">
            <v>2000</v>
          </cell>
          <cell r="H850">
            <v>1466.06</v>
          </cell>
        </row>
        <row r="851">
          <cell r="B851">
            <v>62455</v>
          </cell>
          <cell r="F851">
            <v>200</v>
          </cell>
          <cell r="H851">
            <v>0</v>
          </cell>
        </row>
        <row r="852">
          <cell r="B852">
            <v>62500</v>
          </cell>
          <cell r="F852">
            <v>80557</v>
          </cell>
          <cell r="H852">
            <v>68876.149999999994</v>
          </cell>
        </row>
        <row r="853">
          <cell r="B853">
            <v>62550</v>
          </cell>
          <cell r="F853">
            <v>500</v>
          </cell>
          <cell r="H853">
            <v>1025.72</v>
          </cell>
        </row>
        <row r="854">
          <cell r="B854">
            <v>62560</v>
          </cell>
          <cell r="F854">
            <v>4000</v>
          </cell>
          <cell r="H854">
            <v>1728.24</v>
          </cell>
        </row>
        <row r="855">
          <cell r="B855">
            <v>62570</v>
          </cell>
          <cell r="F855">
            <v>12000</v>
          </cell>
          <cell r="H855">
            <v>12751.61</v>
          </cell>
        </row>
        <row r="856">
          <cell r="B856">
            <v>62580</v>
          </cell>
          <cell r="F856">
            <v>12000</v>
          </cell>
          <cell r="H856">
            <v>12157.26</v>
          </cell>
        </row>
        <row r="857">
          <cell r="B857">
            <v>63000</v>
          </cell>
          <cell r="F857">
            <v>100</v>
          </cell>
          <cell r="H857">
            <v>102.01</v>
          </cell>
        </row>
        <row r="858">
          <cell r="B858">
            <v>63050</v>
          </cell>
          <cell r="F858">
            <v>100</v>
          </cell>
          <cell r="H858">
            <v>43.48</v>
          </cell>
        </row>
        <row r="859">
          <cell r="B859">
            <v>63100</v>
          </cell>
          <cell r="F859">
            <v>5500</v>
          </cell>
          <cell r="H859">
            <v>2928.34</v>
          </cell>
        </row>
        <row r="860">
          <cell r="B860">
            <v>63150</v>
          </cell>
          <cell r="F860">
            <v>1350</v>
          </cell>
          <cell r="H860">
            <v>1043.48</v>
          </cell>
        </row>
        <row r="861">
          <cell r="B861">
            <v>63200</v>
          </cell>
          <cell r="F861">
            <v>750</v>
          </cell>
          <cell r="H861">
            <v>56.52</v>
          </cell>
        </row>
        <row r="862">
          <cell r="B862">
            <v>63250</v>
          </cell>
          <cell r="F862">
            <v>2000</v>
          </cell>
          <cell r="H862">
            <v>2565.21</v>
          </cell>
        </row>
        <row r="863">
          <cell r="B863">
            <v>63300</v>
          </cell>
          <cell r="F863">
            <v>1500</v>
          </cell>
          <cell r="H863">
            <v>680.17</v>
          </cell>
        </row>
        <row r="864">
          <cell r="B864">
            <v>63350</v>
          </cell>
          <cell r="F864">
            <v>3000</v>
          </cell>
          <cell r="H864">
            <v>4032.49</v>
          </cell>
        </row>
        <row r="865">
          <cell r="B865">
            <v>63400</v>
          </cell>
          <cell r="F865">
            <v>250</v>
          </cell>
          <cell r="H865">
            <v>0</v>
          </cell>
        </row>
        <row r="866">
          <cell r="B866">
            <v>63450</v>
          </cell>
          <cell r="F866">
            <v>200</v>
          </cell>
          <cell r="H866">
            <v>0</v>
          </cell>
        </row>
        <row r="867">
          <cell r="B867">
            <v>63460</v>
          </cell>
          <cell r="F867">
            <v>500</v>
          </cell>
          <cell r="H867">
            <v>147.22999999999999</v>
          </cell>
        </row>
        <row r="868">
          <cell r="B868">
            <v>63465</v>
          </cell>
          <cell r="F868">
            <v>200</v>
          </cell>
          <cell r="H868">
            <v>0</v>
          </cell>
        </row>
        <row r="869">
          <cell r="B869">
            <v>63500</v>
          </cell>
          <cell r="F869">
            <v>19047</v>
          </cell>
          <cell r="H869">
            <v>8430.17</v>
          </cell>
        </row>
        <row r="870">
          <cell r="B870">
            <v>63550</v>
          </cell>
          <cell r="F870">
            <v>500</v>
          </cell>
          <cell r="H870">
            <v>610.17999999999995</v>
          </cell>
        </row>
        <row r="871">
          <cell r="B871">
            <v>63560</v>
          </cell>
          <cell r="F871">
            <v>1500</v>
          </cell>
          <cell r="H871">
            <v>135.65</v>
          </cell>
        </row>
        <row r="872">
          <cell r="B872">
            <v>63570</v>
          </cell>
          <cell r="F872">
            <v>4500</v>
          </cell>
          <cell r="H872">
            <v>3697.71</v>
          </cell>
        </row>
        <row r="873">
          <cell r="B873">
            <v>63580</v>
          </cell>
          <cell r="F873">
            <v>8000</v>
          </cell>
          <cell r="H873">
            <v>6474.31</v>
          </cell>
        </row>
        <row r="874">
          <cell r="B874">
            <v>9000</v>
          </cell>
          <cell r="F874">
            <v>0</v>
          </cell>
          <cell r="H874">
            <v>361619.76</v>
          </cell>
        </row>
        <row r="875">
          <cell r="B875">
            <v>9001</v>
          </cell>
          <cell r="F875">
            <v>0</v>
          </cell>
          <cell r="H875">
            <v>0</v>
          </cell>
        </row>
        <row r="876">
          <cell r="B876">
            <v>9002</v>
          </cell>
          <cell r="F876">
            <v>0</v>
          </cell>
          <cell r="H876">
            <v>238242.53</v>
          </cell>
        </row>
        <row r="877">
          <cell r="B877">
            <v>9003</v>
          </cell>
          <cell r="F877">
            <v>0</v>
          </cell>
          <cell r="H877">
            <v>872833.11</v>
          </cell>
        </row>
        <row r="878">
          <cell r="B878">
            <v>9004</v>
          </cell>
          <cell r="F878">
            <v>0</v>
          </cell>
          <cell r="H878">
            <v>519487.87</v>
          </cell>
        </row>
        <row r="879">
          <cell r="B879">
            <v>9005</v>
          </cell>
          <cell r="F879">
            <v>0</v>
          </cell>
          <cell r="H879">
            <v>769815.84</v>
          </cell>
        </row>
        <row r="880">
          <cell r="B880">
            <v>9006</v>
          </cell>
          <cell r="F880">
            <v>0</v>
          </cell>
          <cell r="H880">
            <v>0</v>
          </cell>
        </row>
        <row r="881">
          <cell r="B881">
            <v>9007</v>
          </cell>
          <cell r="F881">
            <v>0</v>
          </cell>
          <cell r="H881">
            <v>0</v>
          </cell>
        </row>
        <row r="882">
          <cell r="B882">
            <v>9008</v>
          </cell>
          <cell r="F882">
            <v>0</v>
          </cell>
          <cell r="H882">
            <v>504369.86</v>
          </cell>
        </row>
        <row r="883">
          <cell r="B883">
            <v>9009</v>
          </cell>
          <cell r="F883">
            <v>0</v>
          </cell>
          <cell r="H883">
            <v>835446.35</v>
          </cell>
        </row>
        <row r="884">
          <cell r="B884">
            <v>9010</v>
          </cell>
          <cell r="F884">
            <v>0</v>
          </cell>
          <cell r="H884">
            <v>507694.28</v>
          </cell>
        </row>
        <row r="885">
          <cell r="B885">
            <v>9012</v>
          </cell>
          <cell r="F885">
            <v>0</v>
          </cell>
          <cell r="H885">
            <v>623800.06999999995</v>
          </cell>
        </row>
        <row r="886">
          <cell r="B886">
            <v>9013</v>
          </cell>
          <cell r="F886">
            <v>0</v>
          </cell>
          <cell r="H886">
            <v>0</v>
          </cell>
        </row>
        <row r="887">
          <cell r="B887">
            <v>9015</v>
          </cell>
          <cell r="F887">
            <v>0</v>
          </cell>
          <cell r="H887">
            <v>400000</v>
          </cell>
        </row>
        <row r="888">
          <cell r="B888">
            <v>9016</v>
          </cell>
          <cell r="F888">
            <v>0</v>
          </cell>
          <cell r="H888">
            <v>958226.16</v>
          </cell>
        </row>
        <row r="889">
          <cell r="B889">
            <v>9017</v>
          </cell>
          <cell r="F889">
            <v>0</v>
          </cell>
          <cell r="H889">
            <v>0</v>
          </cell>
        </row>
        <row r="890">
          <cell r="B890">
            <v>9018</v>
          </cell>
          <cell r="F890">
            <v>0</v>
          </cell>
          <cell r="H890">
            <v>300000</v>
          </cell>
        </row>
        <row r="891">
          <cell r="B891">
            <v>9019</v>
          </cell>
          <cell r="F891">
            <v>0</v>
          </cell>
          <cell r="H891">
            <v>23953.1</v>
          </cell>
        </row>
        <row r="892">
          <cell r="B892">
            <v>9020</v>
          </cell>
          <cell r="F892">
            <v>0</v>
          </cell>
          <cell r="H892">
            <v>0</v>
          </cell>
        </row>
        <row r="893">
          <cell r="B893">
            <v>9021</v>
          </cell>
          <cell r="F893">
            <v>0</v>
          </cell>
          <cell r="H893">
            <v>0</v>
          </cell>
        </row>
        <row r="894">
          <cell r="B894">
            <v>9022</v>
          </cell>
          <cell r="F894">
            <v>0</v>
          </cell>
          <cell r="H894">
            <v>537140.92000000004</v>
          </cell>
        </row>
        <row r="895">
          <cell r="B895">
            <v>9023</v>
          </cell>
          <cell r="F895">
            <v>0</v>
          </cell>
          <cell r="H895">
            <v>0</v>
          </cell>
        </row>
        <row r="896">
          <cell r="B896">
            <v>9024</v>
          </cell>
          <cell r="F896">
            <v>0</v>
          </cell>
          <cell r="H896">
            <v>0</v>
          </cell>
        </row>
        <row r="897">
          <cell r="B897">
            <v>9029</v>
          </cell>
          <cell r="F897">
            <v>0</v>
          </cell>
          <cell r="H897">
            <v>1912.66</v>
          </cell>
        </row>
        <row r="898">
          <cell r="B898">
            <v>9030</v>
          </cell>
          <cell r="F898">
            <v>0</v>
          </cell>
          <cell r="H898">
            <v>100408.32000000001</v>
          </cell>
        </row>
        <row r="899">
          <cell r="B899">
            <v>9035</v>
          </cell>
          <cell r="F899">
            <v>0</v>
          </cell>
          <cell r="H899">
            <v>0</v>
          </cell>
        </row>
        <row r="900">
          <cell r="B900">
            <v>9040</v>
          </cell>
          <cell r="F900">
            <v>0</v>
          </cell>
          <cell r="H900">
            <v>-19250.87</v>
          </cell>
        </row>
        <row r="901">
          <cell r="B901">
            <v>9112</v>
          </cell>
          <cell r="F901">
            <v>0</v>
          </cell>
          <cell r="H901">
            <v>35443.14</v>
          </cell>
        </row>
        <row r="902">
          <cell r="B902">
            <v>9114</v>
          </cell>
          <cell r="F902">
            <v>0</v>
          </cell>
          <cell r="H902">
            <v>0</v>
          </cell>
        </row>
        <row r="903">
          <cell r="B903">
            <v>9115</v>
          </cell>
          <cell r="F903">
            <v>0</v>
          </cell>
          <cell r="H903">
            <v>44385.21</v>
          </cell>
        </row>
        <row r="904">
          <cell r="B904" t="str">
            <v>9115S</v>
          </cell>
          <cell r="F904">
            <v>0</v>
          </cell>
          <cell r="H904">
            <v>528914.47</v>
          </cell>
        </row>
        <row r="905">
          <cell r="B905">
            <v>9116</v>
          </cell>
          <cell r="F905">
            <v>0</v>
          </cell>
          <cell r="H905">
            <v>51601.04</v>
          </cell>
        </row>
        <row r="906">
          <cell r="B906">
            <v>9117</v>
          </cell>
          <cell r="F906">
            <v>0</v>
          </cell>
          <cell r="H906">
            <v>75226.78</v>
          </cell>
        </row>
        <row r="907">
          <cell r="B907">
            <v>9118</v>
          </cell>
          <cell r="F907">
            <v>0</v>
          </cell>
          <cell r="H907">
            <v>17620.560000000001</v>
          </cell>
        </row>
        <row r="908">
          <cell r="B908">
            <v>9120</v>
          </cell>
          <cell r="F908">
            <v>0</v>
          </cell>
          <cell r="H908">
            <v>288850</v>
          </cell>
        </row>
        <row r="909">
          <cell r="B909">
            <v>9121</v>
          </cell>
          <cell r="F909">
            <v>0</v>
          </cell>
          <cell r="H909">
            <v>0</v>
          </cell>
        </row>
        <row r="910">
          <cell r="B910">
            <v>9127</v>
          </cell>
          <cell r="F910">
            <v>0</v>
          </cell>
          <cell r="H910">
            <v>3534.61</v>
          </cell>
        </row>
        <row r="911">
          <cell r="B911">
            <v>9300</v>
          </cell>
          <cell r="F911">
            <v>0</v>
          </cell>
          <cell r="H911">
            <v>-100722.94</v>
          </cell>
        </row>
        <row r="912">
          <cell r="B912">
            <v>9318</v>
          </cell>
          <cell r="F912">
            <v>0</v>
          </cell>
          <cell r="H912">
            <v>-100878</v>
          </cell>
        </row>
        <row r="913">
          <cell r="B913">
            <v>9319</v>
          </cell>
          <cell r="F913">
            <v>0</v>
          </cell>
          <cell r="H913">
            <v>-7145.38</v>
          </cell>
        </row>
        <row r="914">
          <cell r="B914">
            <v>9320</v>
          </cell>
          <cell r="F914">
            <v>0</v>
          </cell>
          <cell r="H914">
            <v>-44907.82</v>
          </cell>
        </row>
        <row r="915">
          <cell r="B915" t="str">
            <v>9320S</v>
          </cell>
          <cell r="F915">
            <v>0</v>
          </cell>
          <cell r="H915">
            <v>-528914.47</v>
          </cell>
        </row>
        <row r="916">
          <cell r="B916">
            <v>9329</v>
          </cell>
          <cell r="F916">
            <v>0</v>
          </cell>
          <cell r="H916">
            <v>0</v>
          </cell>
        </row>
        <row r="917">
          <cell r="B917">
            <v>9331</v>
          </cell>
          <cell r="F917">
            <v>0</v>
          </cell>
          <cell r="H917">
            <v>-17963.759999999998</v>
          </cell>
        </row>
        <row r="918">
          <cell r="B918">
            <v>9332</v>
          </cell>
          <cell r="F918">
            <v>0</v>
          </cell>
          <cell r="H918">
            <v>-660</v>
          </cell>
        </row>
        <row r="919">
          <cell r="B919">
            <v>9345</v>
          </cell>
          <cell r="F919">
            <v>0</v>
          </cell>
          <cell r="H919">
            <v>-14826.82</v>
          </cell>
        </row>
        <row r="920">
          <cell r="B920">
            <v>9350</v>
          </cell>
          <cell r="F920">
            <v>0</v>
          </cell>
          <cell r="H920">
            <v>0</v>
          </cell>
        </row>
        <row r="921">
          <cell r="B921">
            <v>9370</v>
          </cell>
          <cell r="F921">
            <v>2464309</v>
          </cell>
          <cell r="H921">
            <v>2257134.86</v>
          </cell>
        </row>
        <row r="922">
          <cell r="B922">
            <v>9388</v>
          </cell>
          <cell r="F922">
            <v>0</v>
          </cell>
          <cell r="H922">
            <v>0</v>
          </cell>
        </row>
        <row r="923">
          <cell r="B923">
            <v>9391</v>
          </cell>
          <cell r="F923">
            <v>0</v>
          </cell>
          <cell r="H923">
            <v>0</v>
          </cell>
        </row>
        <row r="924">
          <cell r="B924">
            <v>9400</v>
          </cell>
          <cell r="F924">
            <v>0</v>
          </cell>
          <cell r="H924">
            <v>0</v>
          </cell>
        </row>
        <row r="925">
          <cell r="B925">
            <v>9429</v>
          </cell>
          <cell r="F925">
            <v>0</v>
          </cell>
          <cell r="H925">
            <v>-98311</v>
          </cell>
        </row>
        <row r="926">
          <cell r="B926">
            <v>9431</v>
          </cell>
          <cell r="F926">
            <v>0</v>
          </cell>
          <cell r="H926">
            <v>-67364.11</v>
          </cell>
        </row>
        <row r="927">
          <cell r="B927">
            <v>9432</v>
          </cell>
          <cell r="F927">
            <v>0</v>
          </cell>
          <cell r="H927">
            <v>-1045</v>
          </cell>
        </row>
        <row r="928">
          <cell r="B928">
            <v>9445</v>
          </cell>
          <cell r="F928">
            <v>0</v>
          </cell>
          <cell r="H928">
            <v>-24292.17</v>
          </cell>
        </row>
        <row r="929">
          <cell r="B929">
            <v>9500</v>
          </cell>
          <cell r="F929">
            <v>0</v>
          </cell>
          <cell r="H929">
            <v>-8851248.3300000001</v>
          </cell>
        </row>
        <row r="930">
          <cell r="B930">
            <v>9501</v>
          </cell>
          <cell r="F930">
            <v>0</v>
          </cell>
          <cell r="H930">
            <v>-63649.3</v>
          </cell>
        </row>
        <row r="931">
          <cell r="B931">
            <v>9600</v>
          </cell>
          <cell r="F931">
            <v>0</v>
          </cell>
          <cell r="H931">
            <v>0</v>
          </cell>
        </row>
        <row r="932">
          <cell r="B932">
            <v>9601</v>
          </cell>
          <cell r="F932">
            <v>0</v>
          </cell>
          <cell r="H932">
            <v>-96.55</v>
          </cell>
        </row>
        <row r="933">
          <cell r="B933">
            <v>9602</v>
          </cell>
          <cell r="F933">
            <v>0</v>
          </cell>
          <cell r="H933">
            <v>0</v>
          </cell>
        </row>
        <row r="934">
          <cell r="B934">
            <v>9603</v>
          </cell>
          <cell r="F934">
            <v>0</v>
          </cell>
          <cell r="H934">
            <v>1302.77</v>
          </cell>
        </row>
        <row r="935">
          <cell r="B935">
            <v>9604</v>
          </cell>
          <cell r="F935">
            <v>0</v>
          </cell>
          <cell r="H935">
            <v>0</v>
          </cell>
        </row>
        <row r="936">
          <cell r="B936">
            <v>9605</v>
          </cell>
          <cell r="F936">
            <v>0</v>
          </cell>
          <cell r="H936">
            <v>0</v>
          </cell>
        </row>
        <row r="937">
          <cell r="B937">
            <v>9606</v>
          </cell>
          <cell r="F937">
            <v>0</v>
          </cell>
          <cell r="H937">
            <v>2455.5</v>
          </cell>
        </row>
        <row r="938">
          <cell r="B938">
            <v>9607</v>
          </cell>
          <cell r="F938">
            <v>0</v>
          </cell>
          <cell r="H938">
            <v>0</v>
          </cell>
        </row>
        <row r="939">
          <cell r="B939">
            <v>9608</v>
          </cell>
          <cell r="F939">
            <v>0</v>
          </cell>
          <cell r="H939">
            <v>0</v>
          </cell>
        </row>
        <row r="940">
          <cell r="B940">
            <v>9609</v>
          </cell>
          <cell r="F940">
            <v>0</v>
          </cell>
          <cell r="H940">
            <v>556.27</v>
          </cell>
        </row>
        <row r="941">
          <cell r="B941">
            <v>9610</v>
          </cell>
          <cell r="F941">
            <v>0</v>
          </cell>
          <cell r="H941">
            <v>-3499.43</v>
          </cell>
        </row>
        <row r="942">
          <cell r="B942">
            <v>9611</v>
          </cell>
          <cell r="F942">
            <v>0</v>
          </cell>
          <cell r="H942">
            <v>-2072.66</v>
          </cell>
        </row>
        <row r="943">
          <cell r="B943">
            <v>9612</v>
          </cell>
          <cell r="F943">
            <v>0</v>
          </cell>
          <cell r="H943">
            <v>-316.86</v>
          </cell>
        </row>
        <row r="944">
          <cell r="B944">
            <v>9613</v>
          </cell>
          <cell r="F944">
            <v>0</v>
          </cell>
          <cell r="H944">
            <v>2131.9899999999998</v>
          </cell>
        </row>
        <row r="945">
          <cell r="B945">
            <v>9614</v>
          </cell>
          <cell r="F945">
            <v>0</v>
          </cell>
          <cell r="H945">
            <v>-6972.86</v>
          </cell>
        </row>
        <row r="946">
          <cell r="B946">
            <v>9615</v>
          </cell>
          <cell r="F946">
            <v>0</v>
          </cell>
          <cell r="H946">
            <v>-19905.919999999998</v>
          </cell>
        </row>
        <row r="947">
          <cell r="B947">
            <v>9616</v>
          </cell>
          <cell r="F947">
            <v>0</v>
          </cell>
          <cell r="H947">
            <v>1001.3</v>
          </cell>
        </row>
        <row r="948">
          <cell r="B948">
            <v>9617</v>
          </cell>
          <cell r="F948">
            <v>0</v>
          </cell>
          <cell r="H948">
            <v>0</v>
          </cell>
        </row>
        <row r="949">
          <cell r="B949">
            <v>9700</v>
          </cell>
          <cell r="F949">
            <v>0</v>
          </cell>
          <cell r="H949">
            <v>0</v>
          </cell>
        </row>
        <row r="950">
          <cell r="B950">
            <v>9701</v>
          </cell>
          <cell r="F950">
            <v>0</v>
          </cell>
          <cell r="H950">
            <v>-1034</v>
          </cell>
        </row>
        <row r="951">
          <cell r="B951">
            <v>9702</v>
          </cell>
          <cell r="F951">
            <v>0</v>
          </cell>
          <cell r="H951">
            <v>-11891.3</v>
          </cell>
        </row>
        <row r="952">
          <cell r="B952">
            <v>9703</v>
          </cell>
          <cell r="F952">
            <v>0</v>
          </cell>
          <cell r="H952">
            <v>-3213</v>
          </cell>
        </row>
        <row r="953">
          <cell r="B953">
            <v>9704</v>
          </cell>
          <cell r="F953">
            <v>0</v>
          </cell>
          <cell r="H953">
            <v>-48500.959999999999</v>
          </cell>
        </row>
        <row r="954">
          <cell r="B954">
            <v>9705</v>
          </cell>
          <cell r="F954">
            <v>0</v>
          </cell>
          <cell r="H954">
            <v>-89316</v>
          </cell>
        </row>
        <row r="955">
          <cell r="B955">
            <v>9706</v>
          </cell>
          <cell r="F955">
            <v>0</v>
          </cell>
          <cell r="H955">
            <v>-29477.48</v>
          </cell>
        </row>
        <row r="956">
          <cell r="B956">
            <v>9707</v>
          </cell>
          <cell r="F956">
            <v>0</v>
          </cell>
          <cell r="H956">
            <v>-548</v>
          </cell>
        </row>
        <row r="957">
          <cell r="B957">
            <v>9708</v>
          </cell>
          <cell r="F957">
            <v>0</v>
          </cell>
          <cell r="H957">
            <v>-4513</v>
          </cell>
        </row>
        <row r="958">
          <cell r="B958">
            <v>9709</v>
          </cell>
          <cell r="F958">
            <v>0</v>
          </cell>
          <cell r="H958">
            <v>0</v>
          </cell>
        </row>
        <row r="959">
          <cell r="B959">
            <v>9710</v>
          </cell>
          <cell r="F959">
            <v>0</v>
          </cell>
          <cell r="H959">
            <v>-2951</v>
          </cell>
        </row>
        <row r="960">
          <cell r="B960">
            <v>9711</v>
          </cell>
          <cell r="F960">
            <v>0</v>
          </cell>
          <cell r="H960">
            <v>-11422</v>
          </cell>
        </row>
        <row r="961">
          <cell r="B961">
            <v>9712</v>
          </cell>
          <cell r="F961">
            <v>0</v>
          </cell>
          <cell r="H961">
            <v>-6661</v>
          </cell>
        </row>
        <row r="962">
          <cell r="B962">
            <v>9998</v>
          </cell>
          <cell r="F962">
            <v>0</v>
          </cell>
          <cell r="H962">
            <v>0</v>
          </cell>
        </row>
        <row r="963">
          <cell r="B963">
            <v>9999</v>
          </cell>
          <cell r="F963">
            <v>0</v>
          </cell>
          <cell r="H963">
            <v>0</v>
          </cell>
        </row>
        <row r="964">
          <cell r="B964" t="str">
            <v>C100</v>
          </cell>
          <cell r="F964">
            <v>0</v>
          </cell>
          <cell r="H964">
            <v>0</v>
          </cell>
        </row>
        <row r="965">
          <cell r="B965" t="str">
            <v>C200</v>
          </cell>
          <cell r="F965">
            <v>0</v>
          </cell>
          <cell r="H965">
            <v>0</v>
          </cell>
        </row>
        <row r="966">
          <cell r="B966" t="str">
            <v>C201</v>
          </cell>
          <cell r="F966">
            <v>0</v>
          </cell>
          <cell r="H966">
            <v>-7504.83</v>
          </cell>
        </row>
        <row r="967">
          <cell r="B967" t="str">
            <v>C500</v>
          </cell>
          <cell r="F967">
            <v>9500</v>
          </cell>
          <cell r="H967">
            <v>6947.05</v>
          </cell>
        </row>
        <row r="968">
          <cell r="B968" t="str">
            <v>C501</v>
          </cell>
          <cell r="F968">
            <v>33600</v>
          </cell>
          <cell r="H968">
            <v>109300.86</v>
          </cell>
        </row>
        <row r="969">
          <cell r="B969" t="str">
            <v>C502</v>
          </cell>
          <cell r="F969">
            <v>3006</v>
          </cell>
          <cell r="H969">
            <v>5867.25</v>
          </cell>
        </row>
        <row r="970">
          <cell r="B970" t="str">
            <v>C503</v>
          </cell>
          <cell r="F970">
            <v>9300</v>
          </cell>
          <cell r="H970">
            <v>12112.13</v>
          </cell>
        </row>
        <row r="971">
          <cell r="B971" t="str">
            <v>C504</v>
          </cell>
          <cell r="F971">
            <v>19800</v>
          </cell>
          <cell r="H971">
            <v>31664.76</v>
          </cell>
        </row>
        <row r="972">
          <cell r="B972" t="str">
            <v>C505</v>
          </cell>
          <cell r="F972">
            <v>25400</v>
          </cell>
          <cell r="H972">
            <v>3618.37</v>
          </cell>
        </row>
        <row r="973">
          <cell r="B973" t="str">
            <v>C506</v>
          </cell>
          <cell r="F973">
            <v>13900</v>
          </cell>
          <cell r="H973">
            <v>6682.86</v>
          </cell>
        </row>
        <row r="974">
          <cell r="B974" t="str">
            <v>C507</v>
          </cell>
          <cell r="F974">
            <v>3487</v>
          </cell>
          <cell r="H974">
            <v>659</v>
          </cell>
        </row>
        <row r="975">
          <cell r="B975" t="str">
            <v>C508</v>
          </cell>
          <cell r="F975">
            <v>1500</v>
          </cell>
          <cell r="H975">
            <v>533.91</v>
          </cell>
        </row>
        <row r="976">
          <cell r="B976" t="str">
            <v>C509</v>
          </cell>
          <cell r="F976">
            <v>37000</v>
          </cell>
          <cell r="H976">
            <v>0</v>
          </cell>
        </row>
        <row r="977">
          <cell r="B977" t="str">
            <v>C510</v>
          </cell>
          <cell r="F977">
            <v>215196</v>
          </cell>
          <cell r="H977">
            <v>0</v>
          </cell>
        </row>
        <row r="978">
          <cell r="B978" t="str">
            <v>C511</v>
          </cell>
          <cell r="F978">
            <v>0</v>
          </cell>
          <cell r="H978">
            <v>0</v>
          </cell>
        </row>
        <row r="979">
          <cell r="B979" t="str">
            <v>C512</v>
          </cell>
          <cell r="F979">
            <v>3100</v>
          </cell>
          <cell r="H979">
            <v>3030</v>
          </cell>
        </row>
        <row r="980">
          <cell r="B980" t="str">
            <v>C513</v>
          </cell>
          <cell r="F980">
            <v>1559</v>
          </cell>
          <cell r="H980">
            <v>525</v>
          </cell>
        </row>
        <row r="981">
          <cell r="B981" t="str">
            <v>C514</v>
          </cell>
          <cell r="F981">
            <v>15100</v>
          </cell>
          <cell r="H981">
            <v>9917.65</v>
          </cell>
        </row>
        <row r="982">
          <cell r="B982" t="str">
            <v>C515</v>
          </cell>
          <cell r="F982">
            <v>12500</v>
          </cell>
          <cell r="H982">
            <v>71620</v>
          </cell>
        </row>
        <row r="983">
          <cell r="B983" t="str">
            <v>C516</v>
          </cell>
          <cell r="F983">
            <v>31500</v>
          </cell>
          <cell r="H983">
            <v>14448.11</v>
          </cell>
        </row>
        <row r="984">
          <cell r="B984" t="str">
            <v>C517</v>
          </cell>
          <cell r="F984">
            <v>11798</v>
          </cell>
          <cell r="H984">
            <v>37897.89</v>
          </cell>
        </row>
        <row r="985">
          <cell r="B985" t="str">
            <v>C518</v>
          </cell>
          <cell r="F985">
            <v>7300</v>
          </cell>
          <cell r="H985">
            <v>24642.94</v>
          </cell>
        </row>
        <row r="986">
          <cell r="B986" t="str">
            <v>C519</v>
          </cell>
          <cell r="F986">
            <v>0</v>
          </cell>
          <cell r="H986">
            <v>0</v>
          </cell>
        </row>
        <row r="987">
          <cell r="B987" t="str">
            <v>C520</v>
          </cell>
          <cell r="F987">
            <v>0</v>
          </cell>
          <cell r="H987">
            <v>0</v>
          </cell>
        </row>
        <row r="988">
          <cell r="B988" t="str">
            <v>C521</v>
          </cell>
          <cell r="F988">
            <v>4500</v>
          </cell>
          <cell r="H988">
            <v>4003.44</v>
          </cell>
        </row>
        <row r="989">
          <cell r="B989" t="str">
            <v>C522</v>
          </cell>
          <cell r="F989">
            <v>10200</v>
          </cell>
          <cell r="H989">
            <v>2741.44</v>
          </cell>
        </row>
        <row r="990">
          <cell r="B990" t="str">
            <v>C523</v>
          </cell>
          <cell r="F990">
            <v>3706</v>
          </cell>
          <cell r="H990">
            <v>1204.24</v>
          </cell>
        </row>
        <row r="991">
          <cell r="B991" t="str">
            <v>C524</v>
          </cell>
          <cell r="F991">
            <v>28608</v>
          </cell>
          <cell r="H991">
            <v>5545.87</v>
          </cell>
        </row>
        <row r="992">
          <cell r="B992" t="str">
            <v>C530</v>
          </cell>
          <cell r="F992">
            <v>0</v>
          </cell>
          <cell r="H992">
            <v>0</v>
          </cell>
        </row>
        <row r="993">
          <cell r="B993" t="str">
            <v>C532</v>
          </cell>
          <cell r="F993">
            <v>0</v>
          </cell>
          <cell r="H993">
            <v>0</v>
          </cell>
        </row>
        <row r="994">
          <cell r="B994" t="str">
            <v>C534</v>
          </cell>
          <cell r="F994">
            <v>0</v>
          </cell>
          <cell r="H994">
            <v>0</v>
          </cell>
        </row>
        <row r="995">
          <cell r="B995" t="str">
            <v>C536</v>
          </cell>
          <cell r="F995">
            <v>0</v>
          </cell>
          <cell r="H995">
            <v>0</v>
          </cell>
        </row>
        <row r="996">
          <cell r="B996" t="str">
            <v>C538</v>
          </cell>
          <cell r="F996">
            <v>0</v>
          </cell>
          <cell r="H996">
            <v>0</v>
          </cell>
        </row>
        <row r="997">
          <cell r="B997" t="str">
            <v>C540</v>
          </cell>
          <cell r="F997">
            <v>0</v>
          </cell>
          <cell r="H997">
            <v>0</v>
          </cell>
        </row>
        <row r="998">
          <cell r="B998" t="str">
            <v>C542</v>
          </cell>
          <cell r="F998">
            <v>0</v>
          </cell>
          <cell r="H998">
            <v>0</v>
          </cell>
        </row>
        <row r="999">
          <cell r="B999" t="str">
            <v>C544</v>
          </cell>
          <cell r="F999">
            <v>0</v>
          </cell>
          <cell r="H999">
            <v>0</v>
          </cell>
        </row>
        <row r="1000">
          <cell r="B1000" t="str">
            <v>C546</v>
          </cell>
          <cell r="F1000">
            <v>0</v>
          </cell>
          <cell r="H1000">
            <v>0</v>
          </cell>
        </row>
        <row r="1001">
          <cell r="B1001" t="str">
            <v>C548</v>
          </cell>
          <cell r="F1001">
            <v>518132</v>
          </cell>
          <cell r="H1001">
            <v>115489.94</v>
          </cell>
        </row>
        <row r="1002">
          <cell r="B1002" t="str">
            <v>C550</v>
          </cell>
          <cell r="F1002">
            <v>0</v>
          </cell>
          <cell r="H1002">
            <v>0</v>
          </cell>
        </row>
        <row r="1003">
          <cell r="B1003" t="str">
            <v>C552</v>
          </cell>
          <cell r="F1003">
            <v>0</v>
          </cell>
          <cell r="H1003">
            <v>0</v>
          </cell>
        </row>
        <row r="1004">
          <cell r="B1004" t="str">
            <v>C570</v>
          </cell>
          <cell r="F1004">
            <v>0</v>
          </cell>
          <cell r="H1004">
            <v>0</v>
          </cell>
        </row>
        <row r="1005">
          <cell r="B1005" t="str">
            <v>C678</v>
          </cell>
          <cell r="F1005">
            <v>0</v>
          </cell>
          <cell r="H1005">
            <v>0</v>
          </cell>
        </row>
        <row r="1006">
          <cell r="B1006" t="str">
            <v>C680</v>
          </cell>
          <cell r="F1006">
            <v>0</v>
          </cell>
          <cell r="H1006">
            <v>72440</v>
          </cell>
        </row>
        <row r="1007">
          <cell r="B1007" t="str">
            <v>C685</v>
          </cell>
          <cell r="F1007">
            <v>0</v>
          </cell>
          <cell r="H1007">
            <v>46406.13</v>
          </cell>
        </row>
        <row r="1008">
          <cell r="B1008" t="str">
            <v>C750</v>
          </cell>
          <cell r="F1008">
            <v>-303203</v>
          </cell>
          <cell r="H1008">
            <v>-372620.19</v>
          </cell>
        </row>
        <row r="1009">
          <cell r="B1009" t="str">
            <v>D0</v>
          </cell>
          <cell r="F1009">
            <v>0</v>
          </cell>
          <cell r="H1009">
            <v>0</v>
          </cell>
        </row>
        <row r="1010">
          <cell r="B1010" t="str">
            <v>D01</v>
          </cell>
          <cell r="F1010">
            <v>0</v>
          </cell>
          <cell r="H1010">
            <v>-580583.67000000004</v>
          </cell>
        </row>
        <row r="1011">
          <cell r="B1011" t="str">
            <v>D01E</v>
          </cell>
          <cell r="F1011">
            <v>0</v>
          </cell>
          <cell r="H1011">
            <v>580583.67000000004</v>
          </cell>
        </row>
        <row r="1012">
          <cell r="B1012" t="str">
            <v>D02</v>
          </cell>
          <cell r="F1012">
            <v>0</v>
          </cell>
          <cell r="H1012">
            <v>0</v>
          </cell>
        </row>
        <row r="1013">
          <cell r="B1013" t="str">
            <v>D02E</v>
          </cell>
          <cell r="F1013">
            <v>0</v>
          </cell>
          <cell r="H1013">
            <v>0</v>
          </cell>
        </row>
        <row r="1014">
          <cell r="B1014" t="str">
            <v>D03</v>
          </cell>
          <cell r="F1014">
            <v>0</v>
          </cell>
          <cell r="H1014">
            <v>-25256.43</v>
          </cell>
        </row>
        <row r="1015">
          <cell r="B1015" t="str">
            <v>D03E</v>
          </cell>
          <cell r="F1015">
            <v>0</v>
          </cell>
          <cell r="H1015">
            <v>25256.43</v>
          </cell>
        </row>
        <row r="1016">
          <cell r="B1016" t="str">
            <v>XC999</v>
          </cell>
          <cell r="F1016">
            <v>0</v>
          </cell>
          <cell r="H101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karen.stobbs@blennz.school.nz"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13"/>
  <sheetViews>
    <sheetView workbookViewId="0">
      <selection activeCell="E33" sqref="E33"/>
    </sheetView>
  </sheetViews>
  <sheetFormatPr defaultRowHeight="12.75" x14ac:dyDescent="0.2"/>
  <cols>
    <col min="1" max="1" width="13.5703125" style="109" bestFit="1" customWidth="1"/>
    <col min="2" max="2" width="17" style="109" customWidth="1"/>
    <col min="3" max="16384" width="9.140625" style="109"/>
  </cols>
  <sheetData>
    <row r="1" spans="1:2" x14ac:dyDescent="0.2">
      <c r="A1" s="109" t="s">
        <v>1048</v>
      </c>
      <c r="B1" s="247">
        <v>952</v>
      </c>
    </row>
    <row r="2" spans="1:2" x14ac:dyDescent="0.2">
      <c r="A2" s="109" t="s">
        <v>1047</v>
      </c>
      <c r="B2" s="109">
        <v>2017</v>
      </c>
    </row>
    <row r="3" spans="1:2" x14ac:dyDescent="0.2">
      <c r="A3" s="109" t="s">
        <v>1046</v>
      </c>
      <c r="B3" s="289" t="s">
        <v>418</v>
      </c>
    </row>
    <row r="4" spans="1:2" x14ac:dyDescent="0.2">
      <c r="B4" s="111">
        <v>43100</v>
      </c>
    </row>
    <row r="6" spans="1:2" ht="60" customHeight="1" x14ac:dyDescent="0.25">
      <c r="B6" s="110" t="s">
        <v>887</v>
      </c>
    </row>
    <row r="7" spans="1:2" x14ac:dyDescent="0.2">
      <c r="A7" s="109" t="s">
        <v>868</v>
      </c>
      <c r="B7" s="109">
        <v>2016</v>
      </c>
    </row>
    <row r="9" spans="1:2" x14ac:dyDescent="0.2">
      <c r="A9" s="109" t="s">
        <v>869</v>
      </c>
      <c r="B9" s="109">
        <v>2015</v>
      </c>
    </row>
    <row r="13" spans="1:2" x14ac:dyDescent="0.2">
      <c r="A13" s="109" t="s">
        <v>815</v>
      </c>
      <c r="B13" s="318" t="s">
        <v>933</v>
      </c>
    </row>
  </sheetData>
  <phoneticPr fontId="65"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P500"/>
  <sheetViews>
    <sheetView showGridLines="0" view="pageBreakPreview" topLeftCell="A468" zoomScaleNormal="100" zoomScaleSheetLayoutView="100" workbookViewId="0">
      <selection activeCell="O480" sqref="O480"/>
    </sheetView>
  </sheetViews>
  <sheetFormatPr defaultColWidth="8.85546875" defaultRowHeight="15.75" customHeight="1" x14ac:dyDescent="0.2"/>
  <cols>
    <col min="1" max="1" width="5.140625" style="240" customWidth="1"/>
    <col min="2" max="2" width="22.140625" style="223" customWidth="1"/>
    <col min="3" max="3" width="14.7109375" style="8" customWidth="1"/>
    <col min="4" max="4" width="13.140625" style="8" customWidth="1"/>
    <col min="5" max="5" width="11.28515625" style="8" bestFit="1" customWidth="1"/>
    <col min="6" max="6" width="12.7109375" style="192" customWidth="1"/>
    <col min="7" max="7" width="15.140625" style="31" customWidth="1"/>
    <col min="8" max="8" width="12.7109375" style="192" customWidth="1"/>
    <col min="9" max="9" width="12.7109375" style="8" customWidth="1"/>
    <col min="10" max="11" width="10.28515625" style="8" bestFit="1" customWidth="1"/>
    <col min="12" max="12" width="9.28515625" style="8" bestFit="1" customWidth="1"/>
    <col min="13" max="14" width="8.85546875" style="8"/>
    <col min="15" max="15" width="31.85546875" style="8" customWidth="1"/>
    <col min="16" max="16384" width="8.85546875" style="8"/>
  </cols>
  <sheetData>
    <row r="2" spans="1:16" s="16" customFormat="1" ht="15.75" customHeight="1" x14ac:dyDescent="0.2">
      <c r="A2" s="237">
        <v>2</v>
      </c>
      <c r="B2" s="227" t="s">
        <v>322</v>
      </c>
      <c r="E2" s="34"/>
      <c r="F2" s="185"/>
      <c r="G2" s="194"/>
      <c r="H2" s="59"/>
    </row>
    <row r="3" spans="1:16" s="26" customFormat="1" ht="15.75" customHeight="1" x14ac:dyDescent="0.2">
      <c r="A3" s="238"/>
      <c r="B3" s="106"/>
      <c r="F3" s="186">
        <f>'Comprehensive Income'!$C$5</f>
        <v>2017</v>
      </c>
      <c r="G3" s="186">
        <f>'Comprehensive Income'!$D$5</f>
        <v>2017</v>
      </c>
      <c r="H3" s="186">
        <f>'Comprehensive Income'!$E$5</f>
        <v>2016</v>
      </c>
    </row>
    <row r="4" spans="1:16" s="26" customFormat="1" ht="15.75" customHeight="1" x14ac:dyDescent="0.2">
      <c r="A4" s="238"/>
      <c r="B4" s="106"/>
      <c r="F4" s="187" t="s">
        <v>814</v>
      </c>
      <c r="G4" s="187" t="s">
        <v>815</v>
      </c>
      <c r="H4" s="187" t="s">
        <v>814</v>
      </c>
    </row>
    <row r="5" spans="1:16" s="26" customFormat="1" ht="15.75" customHeight="1" x14ac:dyDescent="0.2">
      <c r="A5" s="238"/>
      <c r="B5" s="106"/>
      <c r="F5" s="187"/>
      <c r="G5" s="211" t="s">
        <v>369</v>
      </c>
      <c r="H5" s="187"/>
    </row>
    <row r="6" spans="1:16" s="26" customFormat="1" ht="15.75" customHeight="1" x14ac:dyDescent="0.2">
      <c r="A6" s="238"/>
      <c r="B6" s="106"/>
      <c r="F6" s="187" t="s">
        <v>813</v>
      </c>
      <c r="G6" s="187" t="s">
        <v>813</v>
      </c>
      <c r="H6" s="187" t="s">
        <v>813</v>
      </c>
    </row>
    <row r="7" spans="1:16" s="26" customFormat="1" ht="15.75" customHeight="1" x14ac:dyDescent="0.2">
      <c r="A7" s="239"/>
      <c r="B7" s="184" t="s">
        <v>841</v>
      </c>
      <c r="F7" s="250">
        <f>+'Codes allocation'!D6</f>
        <v>1039884.14</v>
      </c>
      <c r="G7" s="251">
        <f>+'Codes allocation'!F6</f>
        <v>823248</v>
      </c>
      <c r="H7" s="48">
        <f>+'Codes allocation'!H6</f>
        <v>1122988.9100000001</v>
      </c>
      <c r="I7" s="248"/>
      <c r="J7" s="248" t="s">
        <v>933</v>
      </c>
    </row>
    <row r="8" spans="1:16" s="26" customFormat="1" ht="15.75" customHeight="1" x14ac:dyDescent="0.2">
      <c r="A8" s="239"/>
      <c r="B8" s="184" t="s">
        <v>889</v>
      </c>
      <c r="D8" s="55"/>
      <c r="F8" s="250">
        <f>+'Codes allocation'!D8</f>
        <v>1767770.4</v>
      </c>
      <c r="G8" s="251">
        <f>+'Codes allocation'!F8</f>
        <v>1767768</v>
      </c>
      <c r="H8" s="48">
        <f>+'Codes allocation'!H8</f>
        <v>1767770.4</v>
      </c>
      <c r="I8" s="248"/>
      <c r="J8" s="248" t="s">
        <v>755</v>
      </c>
    </row>
    <row r="9" spans="1:16" s="26" customFormat="1" ht="15.75" customHeight="1" x14ac:dyDescent="0.2">
      <c r="A9" s="239"/>
      <c r="B9" s="223" t="s">
        <v>890</v>
      </c>
      <c r="F9" s="250">
        <f>+'Codes allocation'!D11</f>
        <v>783326.83</v>
      </c>
      <c r="G9" s="251">
        <f>+'Codes allocation'!F11</f>
        <v>783328</v>
      </c>
      <c r="H9" s="48">
        <f>+'Codes allocation'!H11</f>
        <v>783326.88</v>
      </c>
      <c r="I9" s="248"/>
      <c r="J9" s="248" t="s">
        <v>756</v>
      </c>
      <c r="K9" s="249"/>
      <c r="L9" s="249"/>
      <c r="M9" s="249"/>
      <c r="N9" s="249"/>
      <c r="O9" s="249"/>
      <c r="P9" s="249"/>
    </row>
    <row r="10" spans="1:16" s="26" customFormat="1" ht="15.75" customHeight="1" x14ac:dyDescent="0.2">
      <c r="A10" s="239"/>
      <c r="B10" s="223" t="s">
        <v>891</v>
      </c>
      <c r="F10" s="250">
        <f>+'Codes allocation'!D13</f>
        <v>644601.69999999995</v>
      </c>
      <c r="G10" s="251">
        <f>+'Codes allocation'!F13</f>
        <v>644601</v>
      </c>
      <c r="H10" s="48">
        <f>+'Codes allocation'!H13</f>
        <v>644601.72</v>
      </c>
      <c r="I10" s="248"/>
      <c r="J10" s="248" t="s">
        <v>757</v>
      </c>
      <c r="K10" s="249"/>
      <c r="L10" s="249"/>
      <c r="M10" s="249"/>
      <c r="N10" s="249"/>
      <c r="O10" s="249"/>
      <c r="P10" s="249"/>
    </row>
    <row r="11" spans="1:16" s="26" customFormat="1" ht="15.75" customHeight="1" x14ac:dyDescent="0.2">
      <c r="A11" s="239"/>
      <c r="B11" s="223" t="s">
        <v>892</v>
      </c>
      <c r="F11" s="250">
        <f>+'Codes allocation'!D15</f>
        <v>8755013.5600000005</v>
      </c>
      <c r="G11" s="251">
        <f>+'Codes allocation'!F15</f>
        <v>8370000</v>
      </c>
      <c r="H11" s="48">
        <f>+'Codes allocation'!H15</f>
        <v>8632083.6099999994</v>
      </c>
      <c r="I11" s="248"/>
      <c r="J11" s="248" t="s">
        <v>1001</v>
      </c>
      <c r="K11" s="249"/>
      <c r="L11" s="249"/>
      <c r="M11" s="249"/>
      <c r="N11" s="249"/>
      <c r="O11" s="249"/>
      <c r="P11" s="249"/>
    </row>
    <row r="12" spans="1:16" s="26" customFormat="1" ht="15.75" customHeight="1" x14ac:dyDescent="0.2">
      <c r="A12" s="239"/>
      <c r="B12" s="223" t="s">
        <v>893</v>
      </c>
      <c r="F12" s="250">
        <f>+'Codes allocation'!D21</f>
        <v>1055161.48</v>
      </c>
      <c r="G12" s="251">
        <f>+'Codes allocation'!F21</f>
        <v>1048952</v>
      </c>
      <c r="H12" s="48">
        <f>+'Codes allocation'!H21</f>
        <v>1031473.43</v>
      </c>
      <c r="I12" s="248"/>
      <c r="J12" s="248" t="s">
        <v>1002</v>
      </c>
      <c r="K12" s="249"/>
      <c r="L12" s="282"/>
      <c r="M12" s="249"/>
      <c r="N12" s="249"/>
      <c r="O12" s="249"/>
      <c r="P12" s="249"/>
    </row>
    <row r="13" spans="1:16" s="26" customFormat="1" ht="15.75" customHeight="1" x14ac:dyDescent="0.2">
      <c r="A13" s="239"/>
      <c r="B13" s="223" t="s">
        <v>894</v>
      </c>
      <c r="F13" s="250">
        <f>+'Codes allocation'!D23</f>
        <v>15283.41</v>
      </c>
      <c r="G13" s="251">
        <f>+'Codes allocation'!F23</f>
        <v>15282</v>
      </c>
      <c r="H13" s="48">
        <f>+'Codes allocation'!H23</f>
        <v>15283.44</v>
      </c>
      <c r="I13" s="248"/>
      <c r="J13" s="248" t="s">
        <v>1003</v>
      </c>
      <c r="K13" s="249"/>
      <c r="L13" s="249"/>
      <c r="M13" s="249"/>
      <c r="N13" s="249"/>
      <c r="O13" s="249"/>
      <c r="P13" s="249"/>
    </row>
    <row r="14" spans="1:16" s="26" customFormat="1" ht="15.75" customHeight="1" x14ac:dyDescent="0.2">
      <c r="A14" s="239"/>
      <c r="B14" s="223" t="s">
        <v>895</v>
      </c>
      <c r="F14" s="250">
        <f>+'Codes allocation'!D25</f>
        <v>797655.57</v>
      </c>
      <c r="G14" s="251">
        <f>+'Codes allocation'!F25</f>
        <v>797655</v>
      </c>
      <c r="H14" s="48">
        <f>+'Codes allocation'!H25</f>
        <v>797655.6</v>
      </c>
      <c r="I14" s="248"/>
      <c r="J14" s="248" t="s">
        <v>1004</v>
      </c>
      <c r="K14" s="249"/>
      <c r="L14" s="249"/>
      <c r="M14" s="249"/>
      <c r="N14" s="249"/>
      <c r="O14" s="249"/>
      <c r="P14" s="249"/>
    </row>
    <row r="15" spans="1:16" s="26" customFormat="1" ht="15.75" customHeight="1" x14ac:dyDescent="0.2">
      <c r="A15" s="239"/>
      <c r="B15" s="184" t="s">
        <v>935</v>
      </c>
      <c r="F15" s="250">
        <f>+'Codes allocation'!D29</f>
        <v>1080272.1399999999</v>
      </c>
      <c r="G15" s="251">
        <f>+'Codes allocation'!F29</f>
        <v>1036733</v>
      </c>
      <c r="H15" s="48">
        <f>+'Codes allocation'!H29+'Codes allocation'!H28</f>
        <v>1055026.08</v>
      </c>
      <c r="I15" s="248"/>
      <c r="J15" s="248" t="s">
        <v>1006</v>
      </c>
      <c r="K15" s="249"/>
      <c r="L15" s="249"/>
      <c r="M15" s="249"/>
      <c r="N15" s="249"/>
      <c r="O15" s="249"/>
      <c r="P15" s="249"/>
    </row>
    <row r="16" spans="1:16" s="26" customFormat="1" ht="15.75" customHeight="1" x14ac:dyDescent="0.2">
      <c r="A16" s="239"/>
      <c r="B16" s="223" t="s">
        <v>896</v>
      </c>
      <c r="F16" s="250">
        <f>+'Codes allocation'!D31</f>
        <v>2386322</v>
      </c>
      <c r="G16" s="251">
        <f>+'Codes allocation'!E31</f>
        <v>1581057</v>
      </c>
      <c r="H16" s="48">
        <v>1696984</v>
      </c>
      <c r="I16" s="248"/>
      <c r="J16" s="248" t="s">
        <v>1008</v>
      </c>
      <c r="K16" s="249"/>
      <c r="L16" s="282"/>
      <c r="M16" s="249"/>
      <c r="N16" s="249"/>
      <c r="O16" s="249"/>
      <c r="P16" s="249"/>
    </row>
    <row r="17" spans="1:16" s="26" customFormat="1" ht="15.75" customHeight="1" x14ac:dyDescent="0.2">
      <c r="A17" s="239"/>
      <c r="B17" s="184" t="s">
        <v>842</v>
      </c>
      <c r="F17" s="554">
        <f>+'Codes allocation'!D40</f>
        <v>380624.29</v>
      </c>
      <c r="G17" s="554">
        <f>+'Codes allocation'!F40</f>
        <v>318950</v>
      </c>
      <c r="H17" s="48">
        <f>+'Codes allocation'!H40</f>
        <v>276085.35000000003</v>
      </c>
      <c r="I17" s="248"/>
      <c r="J17" s="248" t="s">
        <v>1009</v>
      </c>
      <c r="K17" s="617"/>
      <c r="L17" s="617"/>
      <c r="M17" s="617"/>
      <c r="N17" s="282"/>
      <c r="O17" s="531"/>
      <c r="P17" s="531"/>
    </row>
    <row r="18" spans="1:16" s="26" customFormat="1" ht="15.75" customHeight="1" x14ac:dyDescent="0.2">
      <c r="A18" s="239"/>
      <c r="B18" s="184"/>
      <c r="F18" s="250">
        <f>SUM(F7:F17)</f>
        <v>18705915.520000003</v>
      </c>
      <c r="G18" s="251">
        <f>SUM(G7:G17)</f>
        <v>17187574</v>
      </c>
      <c r="H18" s="317">
        <f>SUM(H7:H17)</f>
        <v>17823279.420000002</v>
      </c>
      <c r="I18" s="55"/>
      <c r="J18" s="55"/>
    </row>
    <row r="19" spans="1:16" s="26" customFormat="1" ht="15.75" customHeight="1" x14ac:dyDescent="0.2">
      <c r="A19" s="238"/>
      <c r="B19" s="184"/>
      <c r="F19" s="48"/>
      <c r="G19" s="48"/>
      <c r="H19" s="48"/>
    </row>
    <row r="20" spans="1:16" s="16" customFormat="1" ht="15.75" customHeight="1" x14ac:dyDescent="0.2">
      <c r="A20" s="237">
        <f>A2+1</f>
        <v>3</v>
      </c>
      <c r="B20" s="227" t="s">
        <v>870</v>
      </c>
      <c r="E20" s="34"/>
      <c r="F20" s="185"/>
      <c r="G20" s="185"/>
      <c r="H20" s="185"/>
    </row>
    <row r="21" spans="1:16" s="26" customFormat="1" ht="15.75" customHeight="1" x14ac:dyDescent="0.2">
      <c r="A21" s="238"/>
      <c r="B21" s="228" t="s">
        <v>836</v>
      </c>
      <c r="F21" s="186">
        <f>'Comprehensive Income'!$C$5</f>
        <v>2017</v>
      </c>
      <c r="G21" s="186">
        <f>'Comprehensive Income'!$D$5</f>
        <v>2017</v>
      </c>
      <c r="H21" s="186">
        <f>'Comprehensive Income'!$E$5</f>
        <v>2016</v>
      </c>
    </row>
    <row r="22" spans="1:16" s="26" customFormat="1" ht="15.75" customHeight="1" x14ac:dyDescent="0.2">
      <c r="A22" s="238"/>
      <c r="B22" s="184"/>
      <c r="F22" s="187" t="s">
        <v>814</v>
      </c>
      <c r="G22" s="187" t="s">
        <v>815</v>
      </c>
      <c r="H22" s="187" t="s">
        <v>814</v>
      </c>
    </row>
    <row r="23" spans="1:16" s="26" customFormat="1" ht="15.75" customHeight="1" x14ac:dyDescent="0.2">
      <c r="A23" s="238"/>
      <c r="B23" s="184"/>
      <c r="F23" s="187"/>
      <c r="G23" s="211" t="s">
        <v>369</v>
      </c>
      <c r="H23" s="187"/>
    </row>
    <row r="24" spans="1:16" s="26" customFormat="1" ht="15.75" customHeight="1" x14ac:dyDescent="0.2">
      <c r="A24" s="238"/>
      <c r="B24" s="229" t="s">
        <v>304</v>
      </c>
      <c r="C24" s="8"/>
      <c r="D24" s="9"/>
      <c r="F24" s="187" t="s">
        <v>813</v>
      </c>
      <c r="G24" s="187" t="s">
        <v>813</v>
      </c>
      <c r="H24" s="187" t="s">
        <v>813</v>
      </c>
      <c r="O24" s="26" t="s">
        <v>1055</v>
      </c>
    </row>
    <row r="25" spans="1:16" s="26" customFormat="1" ht="15.75" customHeight="1" x14ac:dyDescent="0.2">
      <c r="A25" s="239"/>
      <c r="B25" s="223" t="s">
        <v>1028</v>
      </c>
      <c r="C25" s="8"/>
      <c r="D25" s="12"/>
      <c r="F25" s="30">
        <f>+'Codes allocation'!D46</f>
        <v>31500</v>
      </c>
      <c r="G25" s="30">
        <f>+'Codes allocation'!F46</f>
        <v>350</v>
      </c>
      <c r="H25" s="30">
        <v>22450</v>
      </c>
      <c r="I25" s="55"/>
    </row>
    <row r="26" spans="1:16" s="26" customFormat="1" ht="15.75" customHeight="1" x14ac:dyDescent="0.2">
      <c r="A26" s="239"/>
      <c r="B26" s="223" t="s">
        <v>396</v>
      </c>
      <c r="C26" s="8"/>
      <c r="D26" s="12"/>
      <c r="F26" s="48" t="s">
        <v>832</v>
      </c>
      <c r="G26" s="48" t="s">
        <v>832</v>
      </c>
      <c r="H26" s="48" t="s">
        <v>832</v>
      </c>
      <c r="I26" s="55"/>
    </row>
    <row r="27" spans="1:16" s="26" customFormat="1" ht="15.75" customHeight="1" x14ac:dyDescent="0.2">
      <c r="A27" s="239"/>
      <c r="B27" s="223" t="s">
        <v>1029</v>
      </c>
      <c r="C27" s="8"/>
      <c r="D27" s="12"/>
      <c r="F27" s="30">
        <f>+'Codes allocation'!D52</f>
        <v>51061.649999999994</v>
      </c>
      <c r="G27" s="30">
        <f>+'Codes allocation'!F52</f>
        <v>49150</v>
      </c>
      <c r="H27" s="30">
        <f>+'Codes allocation'!H52</f>
        <v>40131.75</v>
      </c>
    </row>
    <row r="28" spans="1:16" s="26" customFormat="1" ht="15.75" customHeight="1" x14ac:dyDescent="0.2">
      <c r="A28" s="239"/>
      <c r="B28" s="223" t="s">
        <v>1026</v>
      </c>
      <c r="C28" s="8"/>
      <c r="D28" s="12"/>
      <c r="F28" s="30">
        <f>+'Codes allocation'!D68</f>
        <v>33346.82</v>
      </c>
      <c r="G28" s="30">
        <f>+'Codes allocation'!F68</f>
        <v>37730</v>
      </c>
      <c r="H28" s="30">
        <f>+'Codes allocation'!H68</f>
        <v>23497.02</v>
      </c>
    </row>
    <row r="29" spans="1:16" s="26" customFormat="1" ht="15.75" customHeight="1" x14ac:dyDescent="0.2">
      <c r="A29" s="239"/>
      <c r="B29" s="223" t="s">
        <v>1027</v>
      </c>
      <c r="C29" s="8"/>
      <c r="D29" s="12"/>
      <c r="F29" s="30">
        <f>+'Codes allocation'!D94</f>
        <v>176411.13</v>
      </c>
      <c r="G29" s="30">
        <f>+'Codes allocation'!F94</f>
        <v>110176</v>
      </c>
      <c r="H29" s="52">
        <f>+'Codes allocation'!H94</f>
        <v>148448.29999999999</v>
      </c>
    </row>
    <row r="30" spans="1:16" s="26" customFormat="1" ht="15.75" customHeight="1" x14ac:dyDescent="0.2">
      <c r="A30" s="238"/>
      <c r="B30" s="229"/>
      <c r="C30" s="11"/>
      <c r="D30" s="78"/>
      <c r="E30" s="11"/>
      <c r="F30" s="188">
        <f>SUM(F25:F29)</f>
        <v>292319.59999999998</v>
      </c>
      <c r="G30" s="188">
        <f>SUM(G25:G29)</f>
        <v>197406</v>
      </c>
      <c r="H30" s="30">
        <f>SUM(H25:H29)</f>
        <v>234527.07</v>
      </c>
      <c r="I30" s="11"/>
      <c r="J30" s="36"/>
      <c r="K30" s="11"/>
      <c r="L30" s="11"/>
    </row>
    <row r="31" spans="1:16" ht="15.75" customHeight="1" x14ac:dyDescent="0.2">
      <c r="B31" s="229" t="s">
        <v>305</v>
      </c>
      <c r="C31" s="11"/>
      <c r="D31" s="11"/>
      <c r="E31" s="11"/>
      <c r="F31" s="169"/>
      <c r="G31" s="169"/>
      <c r="H31" s="171"/>
      <c r="I31" s="78"/>
      <c r="J31" s="80"/>
      <c r="K31" s="80"/>
      <c r="L31" s="80"/>
      <c r="M31" s="18"/>
    </row>
    <row r="32" spans="1:16" ht="15.75" customHeight="1" x14ac:dyDescent="0.2">
      <c r="A32" s="241"/>
      <c r="B32" s="222" t="s">
        <v>1036</v>
      </c>
      <c r="C32" s="11"/>
      <c r="D32" s="11"/>
      <c r="E32" s="11"/>
      <c r="F32" s="257">
        <f>+'Codes allocation'!C56+'Codes allocation'!C54</f>
        <v>7191.02</v>
      </c>
      <c r="G32" s="48" t="s">
        <v>832</v>
      </c>
      <c r="H32" s="48" t="s">
        <v>832</v>
      </c>
      <c r="I32" s="78"/>
      <c r="J32" s="80"/>
      <c r="K32" s="80"/>
      <c r="L32" s="80"/>
      <c r="M32" s="18"/>
    </row>
    <row r="33" spans="1:13" ht="15.75" customHeight="1" x14ac:dyDescent="0.2">
      <c r="A33" s="241"/>
      <c r="B33" s="222" t="s">
        <v>397</v>
      </c>
      <c r="C33" s="11"/>
      <c r="D33" s="11"/>
      <c r="E33" s="11"/>
      <c r="F33" s="30">
        <f>+'Codes allocation'!C55</f>
        <v>170972.01</v>
      </c>
      <c r="G33" s="257">
        <f>+'Codes allocation'!E55</f>
        <v>170922</v>
      </c>
      <c r="H33" s="30">
        <f>+'Codes allocation'!G55</f>
        <v>170972</v>
      </c>
      <c r="I33" s="78"/>
      <c r="J33" s="80"/>
      <c r="K33" s="80"/>
      <c r="L33" s="80"/>
      <c r="M33" s="18"/>
    </row>
    <row r="34" spans="1:13" ht="15.75" hidden="1" customHeight="1" x14ac:dyDescent="0.2">
      <c r="A34" s="241"/>
      <c r="B34" s="222" t="s">
        <v>1026</v>
      </c>
      <c r="C34" s="11"/>
      <c r="D34" s="11"/>
      <c r="E34" s="11"/>
      <c r="F34" s="257">
        <f>+'Codes allocation'!D70</f>
        <v>0</v>
      </c>
      <c r="G34" s="257">
        <f>+'Codes allocation'!F70</f>
        <v>0</v>
      </c>
      <c r="H34" s="257">
        <f>+'Codes allocation'!H70</f>
        <v>0</v>
      </c>
      <c r="I34" s="78"/>
      <c r="J34" s="80"/>
      <c r="K34" s="80"/>
      <c r="L34" s="80"/>
      <c r="M34" s="18"/>
    </row>
    <row r="35" spans="1:13" ht="15.75" customHeight="1" x14ac:dyDescent="0.2">
      <c r="A35" s="241"/>
      <c r="B35" s="222" t="s">
        <v>306</v>
      </c>
      <c r="C35" s="11"/>
      <c r="D35" s="11"/>
      <c r="E35" s="11"/>
      <c r="F35" s="52">
        <f>+'Codes allocation'!D118</f>
        <v>100151.83</v>
      </c>
      <c r="G35" s="346">
        <f>+'Codes allocation'!F118</f>
        <v>91908</v>
      </c>
      <c r="H35" s="52">
        <v>142724</v>
      </c>
      <c r="I35" s="78"/>
      <c r="J35" s="80"/>
      <c r="K35" s="80"/>
      <c r="L35" s="555"/>
      <c r="M35" s="18"/>
    </row>
    <row r="36" spans="1:13" ht="15.75" customHeight="1" x14ac:dyDescent="0.2">
      <c r="A36" s="241"/>
      <c r="B36" s="222"/>
      <c r="C36" s="11"/>
      <c r="D36" s="11"/>
      <c r="E36" s="11"/>
      <c r="F36" s="30">
        <f>SUM(F32:F35)</f>
        <v>278314.86</v>
      </c>
      <c r="G36" s="30">
        <f>SUM(G32:G35)</f>
        <v>262830</v>
      </c>
      <c r="H36" s="30">
        <f>SUM(H32:H35)</f>
        <v>313696</v>
      </c>
      <c r="I36" s="78"/>
      <c r="J36" s="80"/>
      <c r="K36" s="80"/>
      <c r="L36" s="80"/>
      <c r="M36" s="18"/>
    </row>
    <row r="37" spans="1:13" customFormat="1" ht="15.75" customHeight="1" x14ac:dyDescent="0.2">
      <c r="A37" s="242"/>
      <c r="B37" s="222"/>
      <c r="C37" s="11"/>
      <c r="D37" s="7"/>
      <c r="E37" s="7"/>
      <c r="F37" s="169"/>
      <c r="G37" s="169"/>
      <c r="H37" s="169"/>
      <c r="I37" s="78"/>
      <c r="J37" s="45"/>
      <c r="K37" s="45"/>
      <c r="L37" s="45"/>
      <c r="M37" s="19"/>
    </row>
    <row r="38" spans="1:13" customFormat="1" ht="15.75" customHeight="1" thickBot="1" x14ac:dyDescent="0.25">
      <c r="A38" s="242"/>
      <c r="B38" s="229" t="s">
        <v>219</v>
      </c>
      <c r="C38" s="11"/>
      <c r="D38" s="7"/>
      <c r="E38" s="7"/>
      <c r="F38" s="170">
        <f>+F30-F36</f>
        <v>14004.739999999991</v>
      </c>
      <c r="G38" s="562">
        <f>+G30-G36</f>
        <v>-65424</v>
      </c>
      <c r="H38" s="562">
        <f>(+H30-H36)</f>
        <v>-79168.929999999993</v>
      </c>
      <c r="I38" s="78"/>
      <c r="J38" s="45"/>
      <c r="K38" s="45"/>
      <c r="L38" s="45"/>
      <c r="M38" s="19"/>
    </row>
    <row r="39" spans="1:13" customFormat="1" ht="15.75" customHeight="1" x14ac:dyDescent="0.2">
      <c r="A39" s="242"/>
      <c r="B39" s="229"/>
      <c r="C39" s="11"/>
      <c r="D39" s="7"/>
      <c r="E39" s="7"/>
      <c r="F39" s="171"/>
      <c r="G39" s="171"/>
      <c r="H39" s="171"/>
      <c r="I39" s="78"/>
      <c r="J39" s="45"/>
      <c r="K39" s="45"/>
      <c r="L39" s="45"/>
      <c r="M39" s="19"/>
    </row>
    <row r="40" spans="1:13" s="16" customFormat="1" ht="15.75" customHeight="1" x14ac:dyDescent="0.2">
      <c r="A40" s="237">
        <f>+A20+1</f>
        <v>4</v>
      </c>
      <c r="B40" s="227" t="s">
        <v>864</v>
      </c>
      <c r="F40" s="190"/>
      <c r="G40" s="185"/>
      <c r="H40" s="185"/>
      <c r="K40" s="26"/>
    </row>
    <row r="41" spans="1:13" s="40" customFormat="1" ht="15.75" customHeight="1" x14ac:dyDescent="0.2">
      <c r="A41" s="243"/>
      <c r="B41" s="225"/>
      <c r="F41" s="186">
        <f>'Comprehensive Income'!$C$5</f>
        <v>2017</v>
      </c>
      <c r="G41" s="186">
        <f>'Comprehensive Income'!$D$5</f>
        <v>2017</v>
      </c>
      <c r="H41" s="186">
        <f>'Comprehensive Income'!$E$5</f>
        <v>2016</v>
      </c>
      <c r="K41" s="26"/>
    </row>
    <row r="42" spans="1:13" s="26" customFormat="1" ht="15.75" customHeight="1" x14ac:dyDescent="0.2">
      <c r="A42" s="238"/>
      <c r="B42" s="106"/>
      <c r="F42" s="187" t="s">
        <v>814</v>
      </c>
      <c r="G42" s="187" t="s">
        <v>815</v>
      </c>
      <c r="H42" s="187" t="s">
        <v>814</v>
      </c>
    </row>
    <row r="43" spans="1:13" s="26" customFormat="1" ht="15.75" customHeight="1" x14ac:dyDescent="0.2">
      <c r="A43" s="238"/>
      <c r="B43" s="106"/>
      <c r="F43" s="187"/>
      <c r="G43" s="211" t="s">
        <v>369</v>
      </c>
      <c r="H43" s="187"/>
    </row>
    <row r="44" spans="1:13" s="26" customFormat="1" ht="15.75" customHeight="1" x14ac:dyDescent="0.2">
      <c r="A44" s="238"/>
      <c r="B44" s="106"/>
      <c r="F44" s="187" t="s">
        <v>813</v>
      </c>
      <c r="G44" s="187" t="s">
        <v>813</v>
      </c>
      <c r="H44" s="187" t="s">
        <v>813</v>
      </c>
    </row>
    <row r="45" spans="1:13" s="26" customFormat="1" ht="15.75" customHeight="1" x14ac:dyDescent="0.2">
      <c r="A45" s="240"/>
      <c r="B45" s="223" t="s">
        <v>826</v>
      </c>
      <c r="F45" s="30">
        <f>+'Codes allocation'!D135</f>
        <v>22612.99</v>
      </c>
      <c r="G45" s="30">
        <f>+'Codes allocation'!F135</f>
        <v>39877</v>
      </c>
      <c r="H45" s="30">
        <f>+'Codes allocation'!H135</f>
        <v>25561.799999999996</v>
      </c>
    </row>
    <row r="46" spans="1:13" ht="15.75" customHeight="1" x14ac:dyDescent="0.2">
      <c r="A46" s="239"/>
      <c r="B46" s="223" t="s">
        <v>220</v>
      </c>
      <c r="F46" s="30">
        <f>+'Codes allocation'!D139</f>
        <v>7368.24</v>
      </c>
      <c r="G46" s="30">
        <f>+'Codes allocation'!F139</f>
        <v>4000</v>
      </c>
      <c r="H46" s="30">
        <f>+'Codes allocation'!H139</f>
        <v>4394.17</v>
      </c>
    </row>
    <row r="47" spans="1:13" ht="15.75" customHeight="1" x14ac:dyDescent="0.2">
      <c r="A47" s="239"/>
      <c r="B47" s="223" t="s">
        <v>897</v>
      </c>
      <c r="F47" s="30">
        <f>+'Codes allocation'!D152</f>
        <v>83109.569999999992</v>
      </c>
      <c r="G47" s="30">
        <f>+'Codes allocation'!F152</f>
        <v>119275</v>
      </c>
      <c r="H47" s="30">
        <f>+'Codes allocation'!H152</f>
        <v>123627.16</v>
      </c>
      <c r="I47" s="9"/>
      <c r="J47" s="9"/>
    </row>
    <row r="48" spans="1:13" ht="15.75" customHeight="1" x14ac:dyDescent="0.2">
      <c r="A48" s="239"/>
      <c r="B48" s="223" t="s">
        <v>899</v>
      </c>
      <c r="F48" s="30">
        <f>+'Codes allocation'!D157</f>
        <v>782.61</v>
      </c>
      <c r="G48" s="30">
        <f>+'Codes allocation'!F157</f>
        <v>4050</v>
      </c>
      <c r="H48" s="30">
        <f>+'Codes allocation'!H157</f>
        <v>1109.29</v>
      </c>
      <c r="I48" s="9"/>
      <c r="J48" s="60"/>
      <c r="K48" s="60"/>
    </row>
    <row r="49" spans="1:11" ht="15.75" customHeight="1" x14ac:dyDescent="0.2">
      <c r="A49" s="239"/>
      <c r="B49" s="223" t="s">
        <v>898</v>
      </c>
      <c r="F49" s="30">
        <f>+'Codes allocation'!D169</f>
        <v>19214.48</v>
      </c>
      <c r="G49" s="30">
        <f>+'Codes allocation'!F169</f>
        <v>42000</v>
      </c>
      <c r="H49" s="30">
        <f>+'Codes allocation'!H169</f>
        <v>40151.210000000006</v>
      </c>
    </row>
    <row r="50" spans="1:11" ht="15.75" customHeight="1" x14ac:dyDescent="0.2">
      <c r="A50" s="239"/>
      <c r="B50" s="223" t="s">
        <v>900</v>
      </c>
      <c r="F50" s="30">
        <f>+'Codes allocation'!D173</f>
        <v>5192.7000000000007</v>
      </c>
      <c r="G50" s="30">
        <f>+'Codes allocation'!F173</f>
        <v>4000</v>
      </c>
      <c r="H50" s="30">
        <f>+'Codes allocation'!H173</f>
        <v>3424.6499999999996</v>
      </c>
    </row>
    <row r="51" spans="1:11" ht="15.75" customHeight="1" x14ac:dyDescent="0.2">
      <c r="A51" s="239"/>
      <c r="B51" s="223" t="s">
        <v>845</v>
      </c>
      <c r="F51" s="30">
        <f>+'Codes allocation'!D181</f>
        <v>8823803.6300000008</v>
      </c>
      <c r="G51" s="30">
        <f>+'Codes allocation'!F181</f>
        <v>8453741</v>
      </c>
      <c r="H51" s="30">
        <f>+'Codes allocation'!H181</f>
        <v>8737986.0899999999</v>
      </c>
      <c r="I51" s="9"/>
    </row>
    <row r="52" spans="1:11" ht="15.75" customHeight="1" x14ac:dyDescent="0.2">
      <c r="A52" s="239"/>
      <c r="B52" s="222" t="s">
        <v>846</v>
      </c>
      <c r="F52" s="30">
        <f>+'Codes allocation'!D185</f>
        <v>150390.34999999998</v>
      </c>
      <c r="G52" s="30">
        <f>+'Codes allocation'!F185</f>
        <v>133132</v>
      </c>
      <c r="H52" s="30">
        <f>+'Codes allocation'!H185</f>
        <v>5572.85</v>
      </c>
      <c r="I52" s="319"/>
      <c r="J52" s="530"/>
    </row>
    <row r="53" spans="1:11" ht="15.75" customHeight="1" x14ac:dyDescent="0.2">
      <c r="F53" s="93">
        <f>SUM(F45:F52)</f>
        <v>9112474.5700000003</v>
      </c>
      <c r="G53" s="93">
        <f>SUM(G45:G52)</f>
        <v>8800075</v>
      </c>
      <c r="H53" s="93">
        <f>SUM(H45:H52)</f>
        <v>8941827.2199999988</v>
      </c>
      <c r="I53" s="33"/>
      <c r="J53" s="452"/>
      <c r="K53" s="33"/>
    </row>
    <row r="54" spans="1:11" ht="15.75" customHeight="1" x14ac:dyDescent="0.2">
      <c r="E54" s="9"/>
      <c r="F54" s="30"/>
      <c r="G54" s="30"/>
      <c r="H54" s="30"/>
      <c r="I54" s="33"/>
      <c r="J54" s="38"/>
      <c r="K54" s="33"/>
    </row>
    <row r="55" spans="1:11" ht="15.75" customHeight="1" x14ac:dyDescent="0.2">
      <c r="A55" s="237">
        <f>A40+1</f>
        <v>5</v>
      </c>
      <c r="B55" s="227" t="s">
        <v>820</v>
      </c>
      <c r="C55" s="16"/>
      <c r="D55" s="16"/>
      <c r="E55" s="34"/>
      <c r="F55" s="185"/>
      <c r="G55" s="321"/>
      <c r="H55" s="185"/>
      <c r="I55" s="60"/>
    </row>
    <row r="56" spans="1:11" ht="15.75" customHeight="1" x14ac:dyDescent="0.2">
      <c r="B56" s="106"/>
      <c r="C56" s="26"/>
      <c r="D56" s="26"/>
      <c r="F56" s="186">
        <f>'Comprehensive Income'!$C$5</f>
        <v>2017</v>
      </c>
      <c r="G56" s="186">
        <f>'Comprehensive Income'!$D$5</f>
        <v>2017</v>
      </c>
      <c r="H56" s="186">
        <f>'Comprehensive Income'!$E$5</f>
        <v>2016</v>
      </c>
      <c r="I56" s="319"/>
    </row>
    <row r="57" spans="1:11" ht="15.75" customHeight="1" x14ac:dyDescent="0.2">
      <c r="B57" s="106"/>
      <c r="C57" s="26"/>
      <c r="D57" s="26"/>
      <c r="F57" s="187" t="s">
        <v>814</v>
      </c>
      <c r="G57" s="187" t="s">
        <v>815</v>
      </c>
      <c r="H57" s="187" t="s">
        <v>814</v>
      </c>
    </row>
    <row r="58" spans="1:11" ht="15.75" customHeight="1" x14ac:dyDescent="0.2">
      <c r="B58" s="106"/>
      <c r="C58" s="26"/>
      <c r="D58" s="26"/>
      <c r="F58" s="187"/>
      <c r="G58" s="211" t="s">
        <v>369</v>
      </c>
      <c r="H58" s="187"/>
    </row>
    <row r="59" spans="1:11" ht="15.75" customHeight="1" x14ac:dyDescent="0.2">
      <c r="B59" s="106"/>
      <c r="C59" s="26"/>
      <c r="D59" s="26"/>
      <c r="F59" s="187" t="s">
        <v>813</v>
      </c>
      <c r="G59" s="187" t="s">
        <v>813</v>
      </c>
      <c r="H59" s="187" t="s">
        <v>813</v>
      </c>
    </row>
    <row r="60" spans="1:11" ht="15.75" customHeight="1" x14ac:dyDescent="0.2">
      <c r="A60" s="239"/>
      <c r="B60" s="184" t="s">
        <v>300</v>
      </c>
      <c r="F60" s="30">
        <f>+'Codes allocation'!C188</f>
        <v>25944</v>
      </c>
      <c r="G60" s="30">
        <f>+'Codes allocation'!E188</f>
        <v>27086</v>
      </c>
      <c r="H60" s="30">
        <f>+'Codes allocation'!G188</f>
        <v>25440</v>
      </c>
    </row>
    <row r="61" spans="1:11" ht="15.75" customHeight="1" x14ac:dyDescent="0.2">
      <c r="A61" s="239"/>
      <c r="B61" s="223" t="s">
        <v>866</v>
      </c>
      <c r="E61" s="9"/>
      <c r="F61" s="30">
        <f>+'Codes allocation'!C190</f>
        <v>8720</v>
      </c>
      <c r="G61" s="30">
        <f>+'Codes allocation'!E190</f>
        <v>8720</v>
      </c>
      <c r="H61" s="30">
        <f>+'Codes allocation'!G190</f>
        <v>8592</v>
      </c>
    </row>
    <row r="62" spans="1:11" ht="15.75" customHeight="1" x14ac:dyDescent="0.2">
      <c r="B62" s="223" t="s">
        <v>847</v>
      </c>
      <c r="F62" s="30">
        <f>+'Codes allocation'!C192</f>
        <v>8040</v>
      </c>
      <c r="G62" s="30">
        <f>+'Codes allocation'!E192</f>
        <v>16480</v>
      </c>
      <c r="H62" s="30">
        <f>+'Codes allocation'!G192</f>
        <v>4010</v>
      </c>
    </row>
    <row r="63" spans="1:11" ht="15.75" customHeight="1" x14ac:dyDescent="0.2">
      <c r="B63" s="223" t="s">
        <v>848</v>
      </c>
      <c r="F63" s="30">
        <f>+'Codes allocation'!D198</f>
        <v>59873.56</v>
      </c>
      <c r="G63" s="30">
        <f>+'Codes allocation'!F198</f>
        <v>59213</v>
      </c>
      <c r="H63" s="30">
        <f>+'Codes allocation'!H198</f>
        <v>63242.47</v>
      </c>
    </row>
    <row r="64" spans="1:11" ht="15.75" customHeight="1" x14ac:dyDescent="0.2">
      <c r="A64" s="239"/>
      <c r="B64" s="224" t="s">
        <v>833</v>
      </c>
      <c r="F64" s="30">
        <f>+'Codes allocation'!D200</f>
        <v>13952.87</v>
      </c>
      <c r="G64" s="30">
        <f>+'Codes allocation'!F200</f>
        <v>7000</v>
      </c>
      <c r="H64" s="30">
        <f>+'Codes allocation'!H200</f>
        <v>12291.92</v>
      </c>
    </row>
    <row r="65" spans="1:16" ht="15.75" customHeight="1" x14ac:dyDescent="0.2">
      <c r="A65" s="239"/>
      <c r="B65" s="223" t="s">
        <v>828</v>
      </c>
      <c r="F65" s="30">
        <f>+'Codes allocation'!D206</f>
        <v>10610.500000000002</v>
      </c>
      <c r="G65" s="30">
        <f>+'Codes allocation'!F206</f>
        <v>15350</v>
      </c>
      <c r="H65" s="30">
        <f>+'Codes allocation'!H206</f>
        <v>15787.949999999999</v>
      </c>
      <c r="J65" s="9"/>
    </row>
    <row r="66" spans="1:16" ht="15.75" customHeight="1" x14ac:dyDescent="0.2">
      <c r="A66" s="239"/>
      <c r="B66" s="223" t="s">
        <v>499</v>
      </c>
      <c r="F66" s="30">
        <f>+'Codes allocation'!D209</f>
        <v>6998.0199999999995</v>
      </c>
      <c r="G66" s="30">
        <f>+'Codes allocation'!F209</f>
        <v>7100</v>
      </c>
      <c r="H66" s="30">
        <f>+'Codes allocation'!H209</f>
        <v>6814.68</v>
      </c>
    </row>
    <row r="67" spans="1:16" ht="15.75" customHeight="1" x14ac:dyDescent="0.2">
      <c r="B67" s="223" t="s">
        <v>902</v>
      </c>
      <c r="F67" s="30">
        <f>+'Codes allocation'!D224</f>
        <v>94821.89</v>
      </c>
      <c r="G67" s="30">
        <f>+'Codes allocation'!F224</f>
        <v>219200</v>
      </c>
      <c r="H67" s="30">
        <f>+'Codes allocation'!H224</f>
        <v>72768.86</v>
      </c>
    </row>
    <row r="68" spans="1:16" ht="15.75" customHeight="1" x14ac:dyDescent="0.2">
      <c r="B68" s="223" t="s">
        <v>242</v>
      </c>
      <c r="F68" s="30">
        <f>+'Codes allocation'!D229</f>
        <v>31273.86</v>
      </c>
      <c r="G68" s="257">
        <f>+'Codes allocation'!F229</f>
        <v>0</v>
      </c>
      <c r="H68" s="30">
        <f>+'Codes allocation'!H229</f>
        <v>60493.04</v>
      </c>
    </row>
    <row r="69" spans="1:16" ht="15.75" customHeight="1" x14ac:dyDescent="0.2">
      <c r="B69" s="223" t="s">
        <v>614</v>
      </c>
      <c r="F69" s="30">
        <f>+'Codes allocation'!D236</f>
        <v>253141.95</v>
      </c>
      <c r="G69" s="30">
        <f>+'Codes allocation'!F236</f>
        <v>289580</v>
      </c>
      <c r="H69" s="30">
        <f>+'Codes allocation'!H236</f>
        <v>211059.24000000002</v>
      </c>
    </row>
    <row r="70" spans="1:16" s="16" customFormat="1" ht="15.75" customHeight="1" x14ac:dyDescent="0.2">
      <c r="A70" s="239"/>
      <c r="B70" s="223" t="s">
        <v>903</v>
      </c>
      <c r="C70" s="8"/>
      <c r="D70" s="8"/>
      <c r="F70" s="30">
        <f>+'Codes allocation'!D242</f>
        <v>1499.2400000000002</v>
      </c>
      <c r="G70" s="30">
        <f>+'Codes allocation'!F242</f>
        <v>1550</v>
      </c>
      <c r="H70" s="30">
        <f>+'Codes allocation'!H242</f>
        <v>2464.2300000000005</v>
      </c>
    </row>
    <row r="71" spans="1:16" s="40" customFormat="1" ht="15.75" customHeight="1" x14ac:dyDescent="0.2">
      <c r="A71" s="240"/>
      <c r="B71" s="223" t="s">
        <v>845</v>
      </c>
      <c r="C71" s="8"/>
      <c r="D71" s="8"/>
      <c r="F71" s="30">
        <f>+'Codes allocation'!D251</f>
        <v>231142.35000000003</v>
      </c>
      <c r="G71" s="30">
        <f>+'Codes allocation'!F251</f>
        <v>240908</v>
      </c>
      <c r="H71" s="30">
        <f>+'Codes allocation'!H251</f>
        <v>289457.35000000003</v>
      </c>
    </row>
    <row r="72" spans="1:16" s="26" customFormat="1" ht="15.75" customHeight="1" x14ac:dyDescent="0.2">
      <c r="A72" s="239"/>
      <c r="B72" s="223" t="s">
        <v>827</v>
      </c>
      <c r="C72" s="8"/>
      <c r="D72" s="8"/>
      <c r="F72" s="257">
        <f>+'Codes allocation'!C253</f>
        <v>0</v>
      </c>
      <c r="G72" s="30">
        <f>+'Codes allocation'!E253</f>
        <v>450</v>
      </c>
      <c r="H72" s="257">
        <f>+'Codes allocation'!G253</f>
        <v>0</v>
      </c>
      <c r="I72" s="40"/>
      <c r="J72" s="40"/>
      <c r="K72" s="40"/>
      <c r="L72" s="40"/>
      <c r="M72" s="40"/>
      <c r="N72" s="40"/>
      <c r="O72" s="40"/>
      <c r="P72" s="40"/>
    </row>
    <row r="73" spans="1:16" s="26" customFormat="1" ht="15.75" customHeight="1" x14ac:dyDescent="0.2">
      <c r="A73" s="238"/>
      <c r="B73" s="27"/>
      <c r="C73" s="8"/>
      <c r="D73" s="8"/>
      <c r="F73" s="93">
        <f>SUM(F60:F72)</f>
        <v>746018.24</v>
      </c>
      <c r="G73" s="93">
        <f>SUM(G60:G72)</f>
        <v>892637</v>
      </c>
      <c r="H73" s="93">
        <f>SUM(H60:H72)</f>
        <v>772421.74</v>
      </c>
    </row>
    <row r="74" spans="1:16" s="26" customFormat="1" ht="15.75" customHeight="1" x14ac:dyDescent="0.2">
      <c r="A74" s="238"/>
      <c r="B74" s="43"/>
      <c r="E74" s="41"/>
      <c r="F74" s="48"/>
      <c r="G74" s="48"/>
      <c r="H74" s="31"/>
    </row>
    <row r="75" spans="1:16" s="26" customFormat="1" ht="15.75" customHeight="1" x14ac:dyDescent="0.2">
      <c r="A75" s="237">
        <f>A55+1</f>
        <v>6</v>
      </c>
      <c r="B75" s="227" t="s">
        <v>825</v>
      </c>
      <c r="C75" s="16"/>
      <c r="D75" s="16"/>
      <c r="E75" s="34"/>
      <c r="F75" s="185"/>
      <c r="G75" s="321"/>
      <c r="H75" s="210"/>
    </row>
    <row r="76" spans="1:16" s="26" customFormat="1" ht="15.75" customHeight="1" x14ac:dyDescent="0.2">
      <c r="A76" s="238"/>
      <c r="B76" s="106"/>
      <c r="F76" s="186">
        <f>'Comprehensive Income'!$C$5</f>
        <v>2017</v>
      </c>
      <c r="G76" s="186">
        <f>'Comprehensive Income'!$D$5</f>
        <v>2017</v>
      </c>
      <c r="H76" s="186">
        <f>'Comprehensive Income'!$E$5</f>
        <v>2016</v>
      </c>
    </row>
    <row r="77" spans="1:16" s="26" customFormat="1" ht="15.75" customHeight="1" x14ac:dyDescent="0.2">
      <c r="A77" s="238"/>
      <c r="B77" s="106"/>
      <c r="F77" s="191" t="s">
        <v>814</v>
      </c>
      <c r="G77" s="187" t="s">
        <v>815</v>
      </c>
      <c r="H77" s="187" t="s">
        <v>814</v>
      </c>
    </row>
    <row r="78" spans="1:16" s="26" customFormat="1" ht="15.75" customHeight="1" x14ac:dyDescent="0.2">
      <c r="A78" s="238"/>
      <c r="B78" s="106"/>
      <c r="F78" s="191"/>
      <c r="G78" s="211" t="s">
        <v>369</v>
      </c>
      <c r="H78" s="187"/>
    </row>
    <row r="79" spans="1:16" s="26" customFormat="1" ht="15.75" customHeight="1" x14ac:dyDescent="0.2">
      <c r="A79" s="238"/>
      <c r="B79" s="106"/>
      <c r="F79" s="191" t="s">
        <v>813</v>
      </c>
      <c r="G79" s="187" t="s">
        <v>813</v>
      </c>
      <c r="H79" s="187" t="s">
        <v>813</v>
      </c>
    </row>
    <row r="80" spans="1:16" s="26" customFormat="1" ht="15.75" customHeight="1" x14ac:dyDescent="0.2">
      <c r="A80" s="239"/>
      <c r="B80" s="223" t="s">
        <v>849</v>
      </c>
      <c r="C80" s="8"/>
      <c r="D80" s="8"/>
      <c r="F80" s="48">
        <f>+'Codes allocation'!D259</f>
        <v>22785.66</v>
      </c>
      <c r="G80" s="48">
        <f>+'Codes allocation'!F259</f>
        <v>24500</v>
      </c>
      <c r="H80" s="48">
        <f>+'Codes allocation'!H259</f>
        <v>22984.260000000002</v>
      </c>
    </row>
    <row r="81" spans="1:9" s="26" customFormat="1" ht="15.75" customHeight="1" x14ac:dyDescent="0.2">
      <c r="A81" s="239"/>
      <c r="B81" s="223" t="s">
        <v>301</v>
      </c>
      <c r="C81" s="8"/>
      <c r="D81" s="8"/>
      <c r="F81" s="30">
        <f>+'Codes allocation'!D266</f>
        <v>25348.04</v>
      </c>
      <c r="G81" s="30">
        <f>+'Codes allocation'!F266</f>
        <v>23900</v>
      </c>
      <c r="H81" s="30">
        <f>+'Codes allocation'!H266</f>
        <v>23657.41</v>
      </c>
    </row>
    <row r="82" spans="1:9" s="26" customFormat="1" ht="15.75" customHeight="1" x14ac:dyDescent="0.2">
      <c r="A82" s="239"/>
      <c r="B82" s="223" t="s">
        <v>243</v>
      </c>
      <c r="C82" s="8"/>
      <c r="D82" s="8"/>
      <c r="F82" s="30">
        <f>+'Codes allocation'!C268</f>
        <v>22811</v>
      </c>
      <c r="G82" s="30">
        <f>+'Codes allocation'!E268</f>
        <v>8994</v>
      </c>
      <c r="H82" s="30">
        <f>+'Codes allocation'!G268</f>
        <v>15811</v>
      </c>
    </row>
    <row r="83" spans="1:9" s="26" customFormat="1" ht="15.75" customHeight="1" x14ac:dyDescent="0.2">
      <c r="A83" s="239"/>
      <c r="B83" s="223" t="s">
        <v>817</v>
      </c>
      <c r="C83" s="8"/>
      <c r="D83" s="8"/>
      <c r="F83" s="30">
        <f>+'Codes allocation'!D280</f>
        <v>29681.43</v>
      </c>
      <c r="G83" s="30">
        <f>+'Codes allocation'!F280</f>
        <v>29700</v>
      </c>
      <c r="H83" s="30">
        <f>+'Codes allocation'!H280</f>
        <v>49682.47</v>
      </c>
    </row>
    <row r="84" spans="1:9" s="26" customFormat="1" ht="15.75" customHeight="1" x14ac:dyDescent="0.2">
      <c r="A84" s="239"/>
      <c r="B84" s="223" t="s">
        <v>850</v>
      </c>
      <c r="C84" s="8"/>
      <c r="D84" s="8"/>
      <c r="F84" s="30">
        <f>+'Codes allocation'!D284</f>
        <v>141713.65</v>
      </c>
      <c r="G84" s="30">
        <f>+'Codes allocation'!F284</f>
        <v>144000</v>
      </c>
      <c r="H84" s="30">
        <f>+'Codes allocation'!H284</f>
        <v>149505.52000000002</v>
      </c>
    </row>
    <row r="85" spans="1:9" s="26" customFormat="1" ht="15.75" hidden="1" customHeight="1" x14ac:dyDescent="0.2">
      <c r="A85" s="239"/>
      <c r="B85" s="223" t="s">
        <v>244</v>
      </c>
      <c r="C85" s="8"/>
      <c r="D85" s="8"/>
      <c r="F85" s="30">
        <f>+'Codes allocation'!C286</f>
        <v>0</v>
      </c>
      <c r="G85" s="30">
        <f>+'Codes allocation'!E286</f>
        <v>0</v>
      </c>
      <c r="H85" s="30">
        <f>+'Codes allocation'!G286</f>
        <v>0</v>
      </c>
    </row>
    <row r="86" spans="1:9" s="26" customFormat="1" ht="15.75" customHeight="1" x14ac:dyDescent="0.2">
      <c r="A86" s="239"/>
      <c r="B86" s="223" t="s">
        <v>606</v>
      </c>
      <c r="C86" s="8"/>
      <c r="D86" s="8"/>
      <c r="F86" s="30">
        <f>+'Codes allocation'!D274</f>
        <v>38540.18</v>
      </c>
      <c r="G86" s="30">
        <f>+'Codes allocation'!F274</f>
        <v>22000</v>
      </c>
      <c r="H86" s="30">
        <f>+'Codes allocation'!H274</f>
        <v>37300.36</v>
      </c>
    </row>
    <row r="87" spans="1:9" s="26" customFormat="1" ht="15.75" customHeight="1" x14ac:dyDescent="0.2">
      <c r="A87" s="240"/>
      <c r="B87" s="223" t="s">
        <v>1012</v>
      </c>
      <c r="C87" s="8"/>
      <c r="D87" s="8"/>
      <c r="F87" s="30">
        <f>+'Codes allocation'!C288</f>
        <v>2386322</v>
      </c>
      <c r="G87" s="30">
        <f>+'Codes allocation'!E288</f>
        <v>1581057</v>
      </c>
      <c r="H87" s="30">
        <f>+H16</f>
        <v>1696984</v>
      </c>
    </row>
    <row r="88" spans="1:9" s="26" customFormat="1" ht="15.75" customHeight="1" x14ac:dyDescent="0.2">
      <c r="A88" s="240"/>
      <c r="B88" s="223" t="s">
        <v>1092</v>
      </c>
      <c r="C88" s="8"/>
      <c r="D88" s="8"/>
      <c r="F88" s="30">
        <f>+'Codes allocation'!C270</f>
        <v>7979</v>
      </c>
      <c r="G88" s="30">
        <f>+'Codes allocation'!E270</f>
        <v>8000</v>
      </c>
      <c r="H88" s="30">
        <f>+'Codes allocation'!G270</f>
        <v>8966</v>
      </c>
    </row>
    <row r="89" spans="1:9" s="26" customFormat="1" ht="15.75" customHeight="1" x14ac:dyDescent="0.2">
      <c r="A89" s="239"/>
      <c r="B89" s="223" t="s">
        <v>845</v>
      </c>
      <c r="C89" s="8"/>
      <c r="D89" s="9"/>
      <c r="F89" s="30">
        <f>+'Codes allocation'!D292</f>
        <v>191294.17</v>
      </c>
      <c r="G89" s="30">
        <f>+'Codes allocation'!F292</f>
        <v>198418</v>
      </c>
      <c r="H89" s="30">
        <f>+'Codes allocation'!H292</f>
        <v>195685.24</v>
      </c>
    </row>
    <row r="90" spans="1:9" s="26" customFormat="1" ht="15.75" customHeight="1" x14ac:dyDescent="0.2">
      <c r="A90" s="238"/>
      <c r="B90" s="223"/>
      <c r="C90" s="8"/>
      <c r="D90" s="8"/>
      <c r="F90" s="93">
        <f>SUM(F80:F89)</f>
        <v>2866475.13</v>
      </c>
      <c r="G90" s="93">
        <f>SUM(G80:G89)</f>
        <v>2040569</v>
      </c>
      <c r="H90" s="93">
        <f>SUM(H80:H89)</f>
        <v>2200576.2599999998</v>
      </c>
    </row>
    <row r="91" spans="1:9" s="26" customFormat="1" ht="15.75" customHeight="1" x14ac:dyDescent="0.2">
      <c r="A91" s="238"/>
      <c r="B91" s="223"/>
      <c r="C91" s="8"/>
      <c r="D91" s="8"/>
      <c r="F91" s="30"/>
      <c r="G91" s="30"/>
      <c r="H91" s="30"/>
    </row>
    <row r="92" spans="1:9" s="26" customFormat="1" ht="48" customHeight="1" x14ac:dyDescent="0.2">
      <c r="A92" s="238"/>
      <c r="B92" s="618" t="s">
        <v>302</v>
      </c>
      <c r="C92" s="618"/>
      <c r="D92" s="618"/>
      <c r="E92" s="618"/>
      <c r="F92" s="618"/>
      <c r="G92" s="618"/>
      <c r="H92" s="618"/>
      <c r="I92" s="618"/>
    </row>
    <row r="93" spans="1:9" s="26" customFormat="1" ht="15.75" customHeight="1" x14ac:dyDescent="0.2">
      <c r="A93" s="238"/>
      <c r="B93" s="223"/>
      <c r="C93" s="8"/>
      <c r="D93" s="8"/>
      <c r="F93" s="30"/>
      <c r="G93" s="30"/>
      <c r="H93" s="30"/>
    </row>
    <row r="94" spans="1:9" s="26" customFormat="1" ht="15.75" customHeight="1" x14ac:dyDescent="0.2">
      <c r="A94" s="238"/>
      <c r="B94" s="223"/>
      <c r="C94" s="8"/>
      <c r="D94" s="8"/>
      <c r="F94" s="30"/>
      <c r="G94" s="30"/>
      <c r="H94" s="30"/>
    </row>
    <row r="95" spans="1:9" s="26" customFormat="1" ht="15.75" customHeight="1" x14ac:dyDescent="0.2">
      <c r="A95" s="237">
        <f>+A75+1</f>
        <v>7</v>
      </c>
      <c r="B95" s="227" t="s">
        <v>905</v>
      </c>
      <c r="C95" s="16"/>
      <c r="D95" s="16"/>
      <c r="E95" s="34"/>
      <c r="F95" s="185"/>
      <c r="G95" s="321"/>
      <c r="H95" s="210"/>
    </row>
    <row r="96" spans="1:9" s="26" customFormat="1" ht="15.75" customHeight="1" x14ac:dyDescent="0.2">
      <c r="A96" s="238"/>
      <c r="B96" s="106"/>
      <c r="F96" s="186">
        <f>'Comprehensive Income'!$C$5</f>
        <v>2017</v>
      </c>
      <c r="G96" s="186">
        <f>'Comprehensive Income'!$D$5</f>
        <v>2017</v>
      </c>
      <c r="H96" s="186">
        <f>'Comprehensive Income'!$E$5</f>
        <v>2016</v>
      </c>
    </row>
    <row r="97" spans="1:10" s="26" customFormat="1" ht="15.75" customHeight="1" x14ac:dyDescent="0.2">
      <c r="A97" s="238"/>
      <c r="B97" s="106"/>
      <c r="F97" s="191" t="s">
        <v>814</v>
      </c>
      <c r="G97" s="187" t="s">
        <v>815</v>
      </c>
      <c r="H97" s="187" t="s">
        <v>814</v>
      </c>
    </row>
    <row r="98" spans="1:10" s="26" customFormat="1" ht="15.75" customHeight="1" x14ac:dyDescent="0.2">
      <c r="A98" s="238"/>
      <c r="B98" s="106"/>
      <c r="F98" s="191"/>
      <c r="G98" s="211" t="s">
        <v>369</v>
      </c>
      <c r="H98" s="187"/>
    </row>
    <row r="99" spans="1:10" s="26" customFormat="1" ht="15.75" customHeight="1" x14ac:dyDescent="0.2">
      <c r="A99" s="238"/>
      <c r="B99" s="106"/>
      <c r="F99" s="191" t="s">
        <v>813</v>
      </c>
      <c r="G99" s="187" t="s">
        <v>813</v>
      </c>
      <c r="H99" s="187" t="s">
        <v>813</v>
      </c>
    </row>
    <row r="100" spans="1:10" s="26" customFormat="1" ht="15.75" customHeight="1" x14ac:dyDescent="0.2">
      <c r="A100" s="239"/>
      <c r="B100" s="223" t="s">
        <v>906</v>
      </c>
      <c r="C100" s="8"/>
      <c r="D100" s="8"/>
      <c r="F100" s="30">
        <f>+'Codes allocation'!D328</f>
        <v>115393.61</v>
      </c>
      <c r="G100" s="30">
        <f>+'Codes allocation'!F328</f>
        <v>123000</v>
      </c>
      <c r="H100" s="30">
        <f>+'Codes allocation'!H328</f>
        <v>107104.64</v>
      </c>
    </row>
    <row r="101" spans="1:10" s="26" customFormat="1" ht="15.75" customHeight="1" x14ac:dyDescent="0.2">
      <c r="A101" s="239"/>
      <c r="B101" s="223" t="s">
        <v>903</v>
      </c>
      <c r="C101" s="8"/>
      <c r="D101" s="8"/>
      <c r="F101" s="30">
        <f>+'Codes allocation'!D355</f>
        <v>2142.2900000000004</v>
      </c>
      <c r="G101" s="30">
        <f>+'Codes allocation'!F355</f>
        <v>3672</v>
      </c>
      <c r="H101" s="30">
        <f>+'Codes allocation'!H355</f>
        <v>2609.04</v>
      </c>
    </row>
    <row r="102" spans="1:10" s="26" customFormat="1" ht="15.75" customHeight="1" x14ac:dyDescent="0.2">
      <c r="A102" s="240"/>
      <c r="B102" s="223" t="s">
        <v>828</v>
      </c>
      <c r="C102" s="8"/>
      <c r="D102" s="8"/>
      <c r="F102" s="30">
        <f>+'Codes allocation'!D371</f>
        <v>54413.899999999994</v>
      </c>
      <c r="G102" s="30">
        <f>+'Codes allocation'!F371</f>
        <v>53800</v>
      </c>
      <c r="H102" s="30">
        <f>+'Codes allocation'!H371</f>
        <v>53061.19</v>
      </c>
    </row>
    <row r="103" spans="1:10" s="26" customFormat="1" ht="15.75" customHeight="1" x14ac:dyDescent="0.2">
      <c r="A103" s="239"/>
      <c r="B103" s="184" t="s">
        <v>902</v>
      </c>
      <c r="C103" s="8"/>
      <c r="D103" s="8"/>
      <c r="F103" s="30">
        <f>+'Codes allocation'!D482</f>
        <v>66384.109999999986</v>
      </c>
      <c r="G103" s="30">
        <f>+'Codes allocation'!F482</f>
        <v>109770</v>
      </c>
      <c r="H103" s="30">
        <f>+'Codes allocation'!H482</f>
        <v>106856.15999999999</v>
      </c>
      <c r="J103" s="55"/>
    </row>
    <row r="104" spans="1:10" s="26" customFormat="1" ht="15.75" customHeight="1" x14ac:dyDescent="0.2">
      <c r="A104" s="240"/>
      <c r="B104" s="223" t="s">
        <v>907</v>
      </c>
      <c r="C104" s="8"/>
      <c r="D104" s="8"/>
      <c r="F104" s="30">
        <f>+'Codes allocation'!D497</f>
        <v>42867.92</v>
      </c>
      <c r="G104" s="30">
        <f>+'Codes allocation'!F497</f>
        <v>57659</v>
      </c>
      <c r="H104" s="30">
        <f>+'Codes allocation'!H497</f>
        <v>46756.860000000008</v>
      </c>
    </row>
    <row r="105" spans="1:10" s="26" customFormat="1" ht="15.75" customHeight="1" x14ac:dyDescent="0.2">
      <c r="A105" s="239"/>
      <c r="B105" s="223" t="s">
        <v>845</v>
      </c>
      <c r="C105" s="8"/>
      <c r="D105" s="9"/>
      <c r="F105" s="30">
        <f>+'Codes allocation'!D534</f>
        <v>492591.35000000003</v>
      </c>
      <c r="G105" s="30">
        <f>+'Codes allocation'!F534</f>
        <v>558593</v>
      </c>
      <c r="H105" s="30">
        <f>+'Codes allocation'!H534</f>
        <v>473269.76000000001</v>
      </c>
      <c r="J105" s="530"/>
    </row>
    <row r="106" spans="1:10" s="26" customFormat="1" ht="15.75" customHeight="1" x14ac:dyDescent="0.2">
      <c r="A106" s="239"/>
      <c r="B106" s="223" t="s">
        <v>908</v>
      </c>
      <c r="C106" s="8"/>
      <c r="D106" s="9"/>
      <c r="F106" s="30">
        <f>+'Codes allocation'!D564</f>
        <v>19290.48</v>
      </c>
      <c r="G106" s="30">
        <f>+'Codes allocation'!F564</f>
        <v>33600</v>
      </c>
      <c r="H106" s="30">
        <f>+'Codes allocation'!H564</f>
        <v>13206.939999999999</v>
      </c>
    </row>
    <row r="107" spans="1:10" s="26" customFormat="1" ht="15.75" customHeight="1" x14ac:dyDescent="0.2">
      <c r="A107" s="239"/>
      <c r="B107" s="223" t="s">
        <v>909</v>
      </c>
      <c r="C107" s="8"/>
      <c r="D107" s="9"/>
      <c r="F107" s="30">
        <f>+'Codes allocation'!D596</f>
        <v>164268.67000000001</v>
      </c>
      <c r="G107" s="30">
        <f>+'Codes allocation'!F596</f>
        <v>180050</v>
      </c>
      <c r="H107" s="30">
        <f>+'Codes allocation'!H596</f>
        <v>171582.77000000002</v>
      </c>
      <c r="I107" s="55"/>
      <c r="J107" s="55"/>
    </row>
    <row r="108" spans="1:10" s="26" customFormat="1" ht="15.75" customHeight="1" x14ac:dyDescent="0.2">
      <c r="A108" s="239"/>
      <c r="B108" s="223" t="s">
        <v>910</v>
      </c>
      <c r="C108" s="8"/>
      <c r="D108" s="9"/>
      <c r="F108" s="30">
        <f>+'Codes allocation'!D609</f>
        <v>35494.68</v>
      </c>
      <c r="G108" s="30">
        <f>+'Codes allocation'!F609</f>
        <v>45867</v>
      </c>
      <c r="H108" s="30">
        <f>+'Codes allocation'!H609</f>
        <v>73674.789999999994</v>
      </c>
      <c r="I108" s="55"/>
      <c r="J108" s="55"/>
    </row>
    <row r="109" spans="1:10" s="26" customFormat="1" ht="15.75" customHeight="1" x14ac:dyDescent="0.2">
      <c r="A109" s="239"/>
      <c r="B109" s="223" t="s">
        <v>911</v>
      </c>
      <c r="C109" s="8"/>
      <c r="D109" s="9"/>
      <c r="F109" s="30">
        <f>+'Codes allocation'!D710</f>
        <v>1437196.68</v>
      </c>
      <c r="G109" s="30">
        <f>+'Codes allocation'!F710+40443</f>
        <v>2021254</v>
      </c>
      <c r="H109" s="30">
        <f>+'Codes allocation'!H710</f>
        <v>1422843.21</v>
      </c>
      <c r="J109" s="55"/>
    </row>
    <row r="110" spans="1:10" s="26" customFormat="1" ht="15.75" customHeight="1" x14ac:dyDescent="0.2">
      <c r="A110" s="238"/>
      <c r="B110" s="223"/>
      <c r="C110" s="8"/>
      <c r="D110" s="8"/>
      <c r="F110" s="93">
        <f>SUM(F100:F109)</f>
        <v>2430043.69</v>
      </c>
      <c r="G110" s="93">
        <f>SUM(G100:G109)</f>
        <v>3187265</v>
      </c>
      <c r="H110" s="93">
        <f>SUM(H100:H109)</f>
        <v>2470965.36</v>
      </c>
      <c r="J110" s="55"/>
    </row>
    <row r="111" spans="1:10" s="26" customFormat="1" ht="15.75" customHeight="1" x14ac:dyDescent="0.2">
      <c r="A111" s="238"/>
      <c r="B111" s="223"/>
      <c r="C111" s="8"/>
      <c r="D111" s="8"/>
      <c r="F111" s="30"/>
      <c r="G111" s="30"/>
      <c r="H111" s="30"/>
    </row>
    <row r="112" spans="1:10" s="26" customFormat="1" ht="15.75" customHeight="1" x14ac:dyDescent="0.2">
      <c r="A112" s="237">
        <f>+A95+1</f>
        <v>8</v>
      </c>
      <c r="B112" s="227" t="s">
        <v>912</v>
      </c>
      <c r="C112" s="16"/>
      <c r="D112" s="16"/>
      <c r="E112" s="34"/>
      <c r="F112" s="185"/>
      <c r="G112" s="321"/>
      <c r="H112" s="210"/>
    </row>
    <row r="113" spans="1:10" s="26" customFormat="1" ht="15.75" customHeight="1" x14ac:dyDescent="0.2">
      <c r="A113" s="238"/>
      <c r="B113" s="106"/>
      <c r="F113" s="186">
        <f>'Comprehensive Income'!$C$5</f>
        <v>2017</v>
      </c>
      <c r="G113" s="186">
        <f>'Comprehensive Income'!$D$5</f>
        <v>2017</v>
      </c>
      <c r="H113" s="186">
        <f>'Comprehensive Income'!$E$5</f>
        <v>2016</v>
      </c>
    </row>
    <row r="114" spans="1:10" s="26" customFormat="1" ht="15.75" customHeight="1" x14ac:dyDescent="0.2">
      <c r="A114" s="238"/>
      <c r="B114" s="106"/>
      <c r="F114" s="191" t="s">
        <v>814</v>
      </c>
      <c r="G114" s="187" t="s">
        <v>815</v>
      </c>
      <c r="H114" s="187" t="s">
        <v>814</v>
      </c>
    </row>
    <row r="115" spans="1:10" s="26" customFormat="1" ht="15.75" customHeight="1" x14ac:dyDescent="0.2">
      <c r="A115" s="238"/>
      <c r="B115" s="106"/>
      <c r="F115" s="191"/>
      <c r="G115" s="211" t="s">
        <v>369</v>
      </c>
      <c r="H115" s="187"/>
    </row>
    <row r="116" spans="1:10" s="26" customFormat="1" ht="15.75" customHeight="1" x14ac:dyDescent="0.2">
      <c r="A116" s="238"/>
      <c r="B116" s="106"/>
      <c r="F116" s="191" t="s">
        <v>813</v>
      </c>
      <c r="G116" s="187" t="s">
        <v>813</v>
      </c>
      <c r="H116" s="187" t="s">
        <v>813</v>
      </c>
    </row>
    <row r="117" spans="1:10" s="26" customFormat="1" ht="15.75" customHeight="1" x14ac:dyDescent="0.2">
      <c r="A117" s="239"/>
      <c r="B117" s="223" t="s">
        <v>913</v>
      </c>
      <c r="C117" s="8"/>
      <c r="D117" s="8"/>
      <c r="F117" s="30">
        <f>+'Codes allocation'!D723</f>
        <v>141695.14000000001</v>
      </c>
      <c r="G117" s="30">
        <f>+'Codes allocation'!F723</f>
        <v>156460</v>
      </c>
      <c r="H117" s="30">
        <f>+'Codes allocation'!H723</f>
        <v>115597.02</v>
      </c>
    </row>
    <row r="118" spans="1:10" s="26" customFormat="1" ht="15.75" customHeight="1" x14ac:dyDescent="0.2">
      <c r="A118" s="239"/>
      <c r="B118" s="223" t="s">
        <v>914</v>
      </c>
      <c r="C118" s="8"/>
      <c r="D118" s="8"/>
      <c r="F118" s="30">
        <f>+'Codes allocation'!C725</f>
        <v>17408.93</v>
      </c>
      <c r="G118" s="30">
        <f>+'Codes allocation'!E725</f>
        <v>23500</v>
      </c>
      <c r="H118" s="30">
        <f>+'Codes allocation'!G725</f>
        <v>33805.94</v>
      </c>
    </row>
    <row r="119" spans="1:10" s="26" customFormat="1" ht="15.75" customHeight="1" x14ac:dyDescent="0.2">
      <c r="A119" s="239"/>
      <c r="B119" s="223" t="s">
        <v>906</v>
      </c>
      <c r="C119" s="8"/>
      <c r="D119" s="8"/>
      <c r="F119" s="30">
        <f>+'Codes allocation'!D730</f>
        <v>3454.88</v>
      </c>
      <c r="G119" s="30">
        <f>+'Codes allocation'!F730</f>
        <v>3600</v>
      </c>
      <c r="H119" s="30">
        <f>+'Codes allocation'!H730</f>
        <v>4124.09</v>
      </c>
    </row>
    <row r="120" spans="1:10" s="26" customFormat="1" ht="15.75" customHeight="1" x14ac:dyDescent="0.2">
      <c r="A120" s="240"/>
      <c r="B120" s="223" t="s">
        <v>902</v>
      </c>
      <c r="C120" s="8"/>
      <c r="D120" s="8"/>
      <c r="F120" s="30">
        <f>+'Codes allocation'!D741</f>
        <v>8950.16</v>
      </c>
      <c r="G120" s="30">
        <f>+'Codes allocation'!F741</f>
        <v>9450</v>
      </c>
      <c r="H120" s="30">
        <f>+'Codes allocation'!H741</f>
        <v>12402.51</v>
      </c>
    </row>
    <row r="121" spans="1:10" s="26" customFormat="1" ht="15.75" customHeight="1" x14ac:dyDescent="0.2">
      <c r="A121" s="239"/>
      <c r="B121" s="184" t="s">
        <v>903</v>
      </c>
      <c r="C121" s="8"/>
      <c r="D121" s="8"/>
      <c r="F121" s="30">
        <f>+'Codes allocation'!D748</f>
        <v>3928.1600000000003</v>
      </c>
      <c r="G121" s="30">
        <f>+'Codes allocation'!F748</f>
        <v>4628</v>
      </c>
      <c r="H121" s="30">
        <f>+'Codes allocation'!H748</f>
        <v>5097.88</v>
      </c>
    </row>
    <row r="122" spans="1:10" s="26" customFormat="1" ht="15.75" customHeight="1" x14ac:dyDescent="0.2">
      <c r="A122" s="240"/>
      <c r="B122" s="223" t="s">
        <v>845</v>
      </c>
      <c r="C122" s="8"/>
      <c r="D122" s="8"/>
      <c r="F122" s="30">
        <f>+'Codes allocation'!D758</f>
        <v>348888.72</v>
      </c>
      <c r="G122" s="30">
        <f>+'Codes allocation'!F758</f>
        <v>350245</v>
      </c>
      <c r="H122" s="30">
        <f>+'Codes allocation'!H758</f>
        <v>357483.59</v>
      </c>
      <c r="J122" s="55"/>
    </row>
    <row r="123" spans="1:10" s="26" customFormat="1" ht="15.75" customHeight="1" x14ac:dyDescent="0.2">
      <c r="A123" s="239"/>
      <c r="B123" s="223" t="s">
        <v>908</v>
      </c>
      <c r="C123" s="8"/>
      <c r="D123" s="9"/>
      <c r="F123" s="30">
        <f>+'Codes allocation'!D763</f>
        <v>14802.29</v>
      </c>
      <c r="G123" s="30">
        <f>+'Codes allocation'!F763</f>
        <v>6700</v>
      </c>
      <c r="H123" s="30">
        <f>+'Codes allocation'!H763</f>
        <v>5050.8499999999995</v>
      </c>
      <c r="J123" s="55"/>
    </row>
    <row r="124" spans="1:10" s="26" customFormat="1" ht="15.75" customHeight="1" x14ac:dyDescent="0.2">
      <c r="A124" s="239"/>
      <c r="B124" s="223" t="s">
        <v>909</v>
      </c>
      <c r="C124" s="8"/>
      <c r="D124" s="9"/>
      <c r="F124" s="30">
        <f>+'Codes allocation'!D766</f>
        <v>33889.71</v>
      </c>
      <c r="G124" s="30">
        <f>+'Codes allocation'!F766</f>
        <v>64028</v>
      </c>
      <c r="H124" s="30">
        <f>+'Codes allocation'!H766</f>
        <v>29514.52</v>
      </c>
    </row>
    <row r="125" spans="1:10" s="26" customFormat="1" ht="15.75" customHeight="1" x14ac:dyDescent="0.2">
      <c r="A125" s="239"/>
      <c r="B125" s="223" t="s">
        <v>915</v>
      </c>
      <c r="C125" s="8"/>
      <c r="D125" s="9"/>
      <c r="F125" s="30">
        <f>+'Codes allocation'!D772</f>
        <v>18445.59</v>
      </c>
      <c r="G125" s="30">
        <f>+'Codes allocation'!F772</f>
        <v>20558</v>
      </c>
      <c r="H125" s="30">
        <f>+'Codes allocation'!H772</f>
        <v>19908.29</v>
      </c>
    </row>
    <row r="126" spans="1:10" s="26" customFormat="1" ht="15.75" customHeight="1" x14ac:dyDescent="0.2">
      <c r="A126" s="238"/>
      <c r="B126" s="223"/>
      <c r="C126" s="8"/>
      <c r="D126" s="8"/>
      <c r="F126" s="93">
        <f>SUM(F117:F125)</f>
        <v>591463.57999999996</v>
      </c>
      <c r="G126" s="93">
        <f>SUM(G117:G125)</f>
        <v>639169</v>
      </c>
      <c r="H126" s="93">
        <f>SUM(H117:H125)</f>
        <v>582984.69000000006</v>
      </c>
      <c r="I126" s="55"/>
      <c r="J126" s="55"/>
    </row>
    <row r="127" spans="1:10" s="26" customFormat="1" ht="15.75" customHeight="1" x14ac:dyDescent="0.2">
      <c r="A127" s="238"/>
      <c r="B127" s="223"/>
      <c r="C127" s="8"/>
      <c r="D127" s="8"/>
      <c r="F127" s="30"/>
      <c r="G127" s="30"/>
      <c r="H127" s="30"/>
    </row>
    <row r="128" spans="1:10" s="26" customFormat="1" ht="15.75" customHeight="1" x14ac:dyDescent="0.2">
      <c r="A128" s="237">
        <f>+A112+1</f>
        <v>9</v>
      </c>
      <c r="B128" s="227" t="s">
        <v>926</v>
      </c>
      <c r="C128" s="16"/>
      <c r="D128" s="16"/>
      <c r="E128" s="34"/>
      <c r="F128" s="185"/>
      <c r="G128" s="185"/>
      <c r="H128" s="210"/>
    </row>
    <row r="129" spans="1:9" s="26" customFormat="1" ht="15.75" customHeight="1" x14ac:dyDescent="0.2">
      <c r="A129" s="238"/>
      <c r="B129" s="106"/>
      <c r="F129" s="186">
        <f>'Comprehensive Income'!$C$5</f>
        <v>2017</v>
      </c>
      <c r="G129" s="186">
        <f>'Comprehensive Income'!$D$5</f>
        <v>2017</v>
      </c>
      <c r="H129" s="186">
        <f>'Comprehensive Income'!$E$5</f>
        <v>2016</v>
      </c>
    </row>
    <row r="130" spans="1:9" s="26" customFormat="1" ht="15.75" customHeight="1" x14ac:dyDescent="0.2">
      <c r="A130" s="238"/>
      <c r="B130" s="106"/>
      <c r="F130" s="191" t="s">
        <v>814</v>
      </c>
      <c r="G130" s="187" t="s">
        <v>815</v>
      </c>
      <c r="H130" s="187" t="s">
        <v>814</v>
      </c>
    </row>
    <row r="131" spans="1:9" s="26" customFormat="1" ht="15.75" customHeight="1" x14ac:dyDescent="0.2">
      <c r="A131" s="238"/>
      <c r="B131" s="106"/>
      <c r="F131" s="191"/>
      <c r="G131" s="211" t="s">
        <v>369</v>
      </c>
      <c r="H131" s="187"/>
    </row>
    <row r="132" spans="1:9" s="26" customFormat="1" ht="15.75" customHeight="1" x14ac:dyDescent="0.2">
      <c r="A132" s="238"/>
      <c r="B132" s="106"/>
      <c r="F132" s="191" t="s">
        <v>813</v>
      </c>
      <c r="G132" s="187" t="s">
        <v>813</v>
      </c>
      <c r="H132" s="187" t="s">
        <v>813</v>
      </c>
    </row>
    <row r="133" spans="1:9" s="26" customFormat="1" ht="15.75" customHeight="1" x14ac:dyDescent="0.2">
      <c r="A133" s="239"/>
      <c r="B133" s="223" t="s">
        <v>845</v>
      </c>
      <c r="C133" s="8"/>
      <c r="D133" s="8"/>
      <c r="F133" s="30">
        <f>+'Codes allocation'!D780</f>
        <v>225655.90999999997</v>
      </c>
      <c r="G133" s="30">
        <f>+'Codes allocation'!F780</f>
        <v>282143</v>
      </c>
      <c r="H133" s="30">
        <f>+'Codes allocation'!H780</f>
        <v>220830.92999999996</v>
      </c>
    </row>
    <row r="134" spans="1:9" s="26" customFormat="1" ht="15.75" customHeight="1" x14ac:dyDescent="0.2">
      <c r="A134" s="239"/>
      <c r="B134" s="223" t="s">
        <v>908</v>
      </c>
      <c r="C134" s="8"/>
      <c r="D134" s="8"/>
      <c r="F134" s="257">
        <f>+'Codes allocation'!C782</f>
        <v>210</v>
      </c>
      <c r="G134" s="257">
        <f>+'Codes allocation'!E782</f>
        <v>850</v>
      </c>
      <c r="H134" s="30">
        <f>+'Codes allocation'!G782</f>
        <v>439.13</v>
      </c>
    </row>
    <row r="135" spans="1:9" s="26" customFormat="1" ht="15.75" customHeight="1" x14ac:dyDescent="0.2">
      <c r="A135" s="240"/>
      <c r="B135" s="223" t="s">
        <v>902</v>
      </c>
      <c r="C135" s="8"/>
      <c r="D135" s="8"/>
      <c r="F135" s="30">
        <f>+'Codes allocation'!D792</f>
        <v>4294.84</v>
      </c>
      <c r="G135" s="30">
        <f>+'Codes allocation'!F792</f>
        <v>6300</v>
      </c>
      <c r="H135" s="30">
        <f>+'Codes allocation'!H792</f>
        <v>3226.5</v>
      </c>
    </row>
    <row r="136" spans="1:9" s="26" customFormat="1" ht="15.75" customHeight="1" x14ac:dyDescent="0.2">
      <c r="A136" s="239"/>
      <c r="B136" s="184" t="s">
        <v>913</v>
      </c>
      <c r="C136" s="8"/>
      <c r="D136" s="8"/>
      <c r="F136" s="30">
        <f>+'Codes allocation'!D803</f>
        <v>113562.75</v>
      </c>
      <c r="G136" s="30">
        <f>+'Codes allocation'!F803</f>
        <v>126000</v>
      </c>
      <c r="H136" s="30">
        <f>+'Codes allocation'!H803</f>
        <v>99839.040000000008</v>
      </c>
    </row>
    <row r="137" spans="1:9" s="26" customFormat="1" ht="15.75" customHeight="1" x14ac:dyDescent="0.2">
      <c r="A137" s="240"/>
      <c r="B137" s="223" t="s">
        <v>828</v>
      </c>
      <c r="C137" s="8"/>
      <c r="D137" s="8"/>
      <c r="F137" s="30">
        <f>+'Codes allocation'!C805</f>
        <v>793.64</v>
      </c>
      <c r="G137" s="30">
        <f>+'Codes allocation'!E805</f>
        <v>4000</v>
      </c>
      <c r="H137" s="30">
        <f>+'Codes allocation'!G805</f>
        <v>1664.74</v>
      </c>
    </row>
    <row r="138" spans="1:9" s="26" customFormat="1" ht="15.75" customHeight="1" x14ac:dyDescent="0.2">
      <c r="A138" s="239"/>
      <c r="B138" s="223" t="s">
        <v>917</v>
      </c>
      <c r="C138" s="8"/>
      <c r="D138" s="9"/>
      <c r="F138" s="30">
        <f>+'Codes allocation'!D811</f>
        <v>52372.55</v>
      </c>
      <c r="G138" s="30">
        <f>+'Codes allocation'!F811</f>
        <v>67360</v>
      </c>
      <c r="H138" s="30">
        <f>+'Codes allocation'!H811</f>
        <v>49581.020000000004</v>
      </c>
    </row>
    <row r="139" spans="1:9" s="26" customFormat="1" ht="15.75" customHeight="1" x14ac:dyDescent="0.2">
      <c r="A139" s="239"/>
      <c r="B139" s="223" t="s">
        <v>903</v>
      </c>
      <c r="C139" s="8"/>
      <c r="D139" s="9"/>
      <c r="F139" s="30">
        <f>+'Codes allocation'!D817</f>
        <v>11091.42</v>
      </c>
      <c r="G139" s="30">
        <f>+'Codes allocation'!F817</f>
        <v>16486</v>
      </c>
      <c r="H139" s="30">
        <f>+'Codes allocation'!H817</f>
        <v>12552.349999999999</v>
      </c>
    </row>
    <row r="140" spans="1:9" s="26" customFormat="1" ht="15.75" customHeight="1" x14ac:dyDescent="0.2">
      <c r="A140" s="238"/>
      <c r="B140" s="223"/>
      <c r="C140" s="8"/>
      <c r="D140" s="8"/>
      <c r="F140" s="93">
        <f>SUM(F133:F139)</f>
        <v>407981.11</v>
      </c>
      <c r="G140" s="93">
        <f>SUM(G133:G139)</f>
        <v>503139</v>
      </c>
      <c r="H140" s="93">
        <f>SUM(H133:H139)</f>
        <v>388133.70999999996</v>
      </c>
      <c r="I140" s="55"/>
    </row>
    <row r="141" spans="1:9" s="26" customFormat="1" ht="15.75" customHeight="1" x14ac:dyDescent="0.2">
      <c r="A141" s="238"/>
      <c r="B141" s="223"/>
      <c r="C141" s="8"/>
      <c r="D141" s="8"/>
      <c r="F141" s="30"/>
      <c r="G141" s="30"/>
      <c r="H141" s="30"/>
    </row>
    <row r="142" spans="1:9" s="26" customFormat="1" ht="15.75" customHeight="1" x14ac:dyDescent="0.2">
      <c r="A142" s="237">
        <f>+A128+1</f>
        <v>10</v>
      </c>
      <c r="B142" s="227" t="s">
        <v>918</v>
      </c>
      <c r="C142" s="16"/>
      <c r="D142" s="16"/>
      <c r="E142" s="34"/>
      <c r="F142" s="185"/>
      <c r="G142" s="185"/>
      <c r="H142" s="210"/>
    </row>
    <row r="143" spans="1:9" s="26" customFormat="1" ht="15.75" customHeight="1" x14ac:dyDescent="0.2">
      <c r="A143" s="238"/>
      <c r="B143" s="106"/>
      <c r="F143" s="186">
        <f>'Comprehensive Income'!$C$5</f>
        <v>2017</v>
      </c>
      <c r="G143" s="186">
        <f>'Comprehensive Income'!$D$5</f>
        <v>2017</v>
      </c>
      <c r="H143" s="186">
        <f>'Comprehensive Income'!$E$5</f>
        <v>2016</v>
      </c>
    </row>
    <row r="144" spans="1:9" s="26" customFormat="1" ht="15.75" customHeight="1" x14ac:dyDescent="0.2">
      <c r="A144" s="238"/>
      <c r="B144" s="106"/>
      <c r="F144" s="191" t="s">
        <v>814</v>
      </c>
      <c r="G144" s="187" t="s">
        <v>815</v>
      </c>
      <c r="H144" s="187" t="s">
        <v>814</v>
      </c>
    </row>
    <row r="145" spans="1:10" s="26" customFormat="1" ht="15.75" customHeight="1" x14ac:dyDescent="0.2">
      <c r="A145" s="238"/>
      <c r="B145" s="106"/>
      <c r="F145" s="191"/>
      <c r="G145" s="211" t="s">
        <v>369</v>
      </c>
      <c r="H145" s="187"/>
    </row>
    <row r="146" spans="1:10" s="26" customFormat="1" ht="15.75" customHeight="1" x14ac:dyDescent="0.2">
      <c r="A146" s="238"/>
      <c r="B146" s="106"/>
      <c r="F146" s="191" t="s">
        <v>813</v>
      </c>
      <c r="G146" s="187" t="s">
        <v>813</v>
      </c>
      <c r="H146" s="187" t="s">
        <v>813</v>
      </c>
    </row>
    <row r="147" spans="1:10" s="26" customFormat="1" ht="15.75" customHeight="1" x14ac:dyDescent="0.2">
      <c r="A147" s="239"/>
      <c r="B147" s="223" t="s">
        <v>906</v>
      </c>
      <c r="C147" s="8"/>
      <c r="D147" s="8"/>
      <c r="F147" s="30">
        <f>+'Codes allocation'!D821</f>
        <v>2683.73</v>
      </c>
      <c r="G147" s="30">
        <f>+'Codes allocation'!F821</f>
        <v>2950</v>
      </c>
      <c r="H147" s="30">
        <f>+'Codes allocation'!H821</f>
        <v>2624.6200000000003</v>
      </c>
      <c r="I147" s="55"/>
    </row>
    <row r="148" spans="1:10" s="26" customFormat="1" ht="15.75" customHeight="1" x14ac:dyDescent="0.2">
      <c r="A148" s="239"/>
      <c r="B148" s="223" t="s">
        <v>902</v>
      </c>
      <c r="C148" s="8"/>
      <c r="D148" s="8"/>
      <c r="F148" s="30">
        <f>+'Codes allocation'!D828</f>
        <v>624.41000000000008</v>
      </c>
      <c r="G148" s="30">
        <f>+'Codes allocation'!F828</f>
        <v>4750</v>
      </c>
      <c r="H148" s="30">
        <f>+'Codes allocation'!H828</f>
        <v>1163.54</v>
      </c>
    </row>
    <row r="149" spans="1:10" s="26" customFormat="1" ht="15.75" customHeight="1" x14ac:dyDescent="0.2">
      <c r="A149" s="239"/>
      <c r="B149" s="223" t="s">
        <v>828</v>
      </c>
      <c r="C149" s="8"/>
      <c r="D149" s="8"/>
      <c r="F149" s="30">
        <f>+'Codes allocation'!C830</f>
        <v>2143.9899999999998</v>
      </c>
      <c r="G149" s="30">
        <f>+'Codes allocation'!E830</f>
        <v>2000</v>
      </c>
      <c r="H149" s="30">
        <f>+'Codes allocation'!G830</f>
        <v>3114.6</v>
      </c>
      <c r="I149" s="55"/>
    </row>
    <row r="150" spans="1:10" s="26" customFormat="1" ht="15.75" customHeight="1" x14ac:dyDescent="0.2">
      <c r="A150" s="240"/>
      <c r="B150" s="223" t="s">
        <v>919</v>
      </c>
      <c r="C150" s="8"/>
      <c r="F150" s="30">
        <f>+'Codes allocation'!D833</f>
        <v>5395.46</v>
      </c>
      <c r="G150" s="30">
        <f>+'Codes allocation'!F833</f>
        <v>10000</v>
      </c>
      <c r="H150" s="30">
        <f>+'Codes allocation'!H833</f>
        <v>5318.86</v>
      </c>
    </row>
    <row r="151" spans="1:10" s="26" customFormat="1" ht="15.75" customHeight="1" x14ac:dyDescent="0.2">
      <c r="A151" s="239"/>
      <c r="B151" s="184" t="s">
        <v>903</v>
      </c>
      <c r="C151" s="8"/>
      <c r="D151" s="8"/>
      <c r="F151" s="30">
        <f>+'Codes allocation'!D839</f>
        <v>13022.08</v>
      </c>
      <c r="G151" s="30">
        <f>+'Codes allocation'!F839</f>
        <v>14636</v>
      </c>
      <c r="H151" s="30">
        <f>+'Codes allocation'!H839</f>
        <v>13479.1</v>
      </c>
    </row>
    <row r="152" spans="1:10" s="26" customFormat="1" ht="15.75" customHeight="1" x14ac:dyDescent="0.2">
      <c r="A152" s="240"/>
      <c r="B152" s="223" t="s">
        <v>845</v>
      </c>
      <c r="C152" s="8"/>
      <c r="D152" s="8"/>
      <c r="F152" s="30">
        <f>+'Codes allocation'!D846</f>
        <v>538010.83000000007</v>
      </c>
      <c r="G152" s="30">
        <f>+'Codes allocation'!F846</f>
        <v>771639</v>
      </c>
      <c r="H152" s="30">
        <f>+'Codes allocation'!H846</f>
        <v>796071.89999999991</v>
      </c>
    </row>
    <row r="153" spans="1:10" s="26" customFormat="1" ht="15.75" customHeight="1" x14ac:dyDescent="0.2">
      <c r="A153" s="239"/>
      <c r="B153" s="223" t="s">
        <v>908</v>
      </c>
      <c r="C153" s="8"/>
      <c r="D153" s="9"/>
      <c r="F153" s="30">
        <f>+'Codes allocation'!C848</f>
        <v>3244.22</v>
      </c>
      <c r="G153" s="30">
        <f>+'Codes allocation'!E848</f>
        <v>4500</v>
      </c>
      <c r="H153" s="30">
        <f>+'Codes allocation'!G848</f>
        <v>5293.26</v>
      </c>
    </row>
    <row r="154" spans="1:10" s="26" customFormat="1" ht="15.75" customHeight="1" x14ac:dyDescent="0.2">
      <c r="A154" s="239"/>
      <c r="B154" s="223" t="s">
        <v>920</v>
      </c>
      <c r="C154" s="8"/>
      <c r="D154" s="9"/>
      <c r="F154" s="30">
        <f>+'Codes allocation'!D856</f>
        <v>7785.4400000000005</v>
      </c>
      <c r="G154" s="30">
        <f>+'Codes allocation'!F856</f>
        <v>6750</v>
      </c>
      <c r="H154" s="30">
        <f>+'Codes allocation'!H856</f>
        <v>59738.700000000004</v>
      </c>
    </row>
    <row r="155" spans="1:10" s="26" customFormat="1" ht="15.75" customHeight="1" x14ac:dyDescent="0.2">
      <c r="A155" s="239"/>
      <c r="B155" s="223" t="s">
        <v>921</v>
      </c>
      <c r="C155" s="8"/>
      <c r="D155" s="9"/>
      <c r="F155" s="30">
        <f>+'Codes allocation'!D863</f>
        <v>70726.33</v>
      </c>
      <c r="G155" s="30">
        <f>+'Codes allocation'!F863</f>
        <v>82586</v>
      </c>
      <c r="H155" s="30">
        <f>+'Codes allocation'!H863</f>
        <v>68651.48000000001</v>
      </c>
      <c r="I155" s="55"/>
      <c r="J155" s="55"/>
    </row>
    <row r="156" spans="1:10" s="26" customFormat="1" ht="15.75" customHeight="1" x14ac:dyDescent="0.2">
      <c r="A156" s="239"/>
      <c r="B156" s="223" t="s">
        <v>922</v>
      </c>
      <c r="C156" s="8"/>
      <c r="D156" s="9"/>
      <c r="F156" s="30">
        <f>+'Codes allocation'!D911</f>
        <v>366521.26</v>
      </c>
      <c r="G156" s="30">
        <f>+'Codes allocation'!F911</f>
        <v>570716</v>
      </c>
      <c r="H156" s="30">
        <f>+'Codes allocation'!H911</f>
        <v>389408.05999999994</v>
      </c>
    </row>
    <row r="157" spans="1:10" s="26" customFormat="1" ht="15.75" customHeight="1" x14ac:dyDescent="0.2">
      <c r="A157" s="238"/>
      <c r="B157" s="223"/>
      <c r="C157" s="8"/>
      <c r="D157" s="8"/>
      <c r="F157" s="93">
        <f>SUM(F147:F156)</f>
        <v>1010157.75</v>
      </c>
      <c r="G157" s="93">
        <f>SUM(G147:G156)</f>
        <v>1470527</v>
      </c>
      <c r="H157" s="93">
        <f>SUM(H147:H156)</f>
        <v>1344864.1199999996</v>
      </c>
      <c r="J157" s="55"/>
    </row>
    <row r="158" spans="1:10" s="26" customFormat="1" ht="15.75" customHeight="1" x14ac:dyDescent="0.2">
      <c r="A158" s="238"/>
      <c r="B158" s="223"/>
      <c r="C158" s="8"/>
      <c r="D158" s="8"/>
      <c r="F158" s="30"/>
      <c r="G158" s="30"/>
      <c r="H158" s="30"/>
      <c r="I158" s="55"/>
    </row>
    <row r="159" spans="1:10" s="26" customFormat="1" ht="15.75" customHeight="1" x14ac:dyDescent="0.2">
      <c r="A159" s="237">
        <f>+A142+1</f>
        <v>11</v>
      </c>
      <c r="B159" s="227" t="s">
        <v>821</v>
      </c>
      <c r="E159" s="15"/>
      <c r="F159" s="187"/>
      <c r="G159" s="322"/>
      <c r="H159" s="210"/>
    </row>
    <row r="160" spans="1:10" s="61" customFormat="1" ht="15.75" customHeight="1" x14ac:dyDescent="0.2">
      <c r="A160" s="244"/>
      <c r="B160" s="106"/>
      <c r="C160" s="8"/>
      <c r="D160" s="8"/>
      <c r="F160" s="186">
        <f>'Comprehensive Income'!$C$5</f>
        <v>2017</v>
      </c>
      <c r="G160" s="186">
        <f>'Comprehensive Income'!$D$5</f>
        <v>2017</v>
      </c>
      <c r="H160" s="186">
        <f>'Comprehensive Income'!$E$5</f>
        <v>2016</v>
      </c>
    </row>
    <row r="161" spans="1:13" ht="15.75" customHeight="1" x14ac:dyDescent="0.2">
      <c r="B161" s="106"/>
      <c r="F161" s="191" t="s">
        <v>814</v>
      </c>
      <c r="G161" s="187" t="s">
        <v>815</v>
      </c>
      <c r="H161" s="187" t="s">
        <v>814</v>
      </c>
    </row>
    <row r="162" spans="1:13" ht="15.75" customHeight="1" x14ac:dyDescent="0.2">
      <c r="B162" s="106"/>
      <c r="F162" s="191"/>
      <c r="G162" s="211" t="s">
        <v>369</v>
      </c>
      <c r="H162" s="187"/>
    </row>
    <row r="163" spans="1:13" ht="15.75" customHeight="1" x14ac:dyDescent="0.2">
      <c r="B163" s="106"/>
      <c r="C163" s="26"/>
      <c r="D163" s="26"/>
      <c r="F163" s="191" t="s">
        <v>813</v>
      </c>
      <c r="G163" s="187" t="s">
        <v>813</v>
      </c>
      <c r="H163" s="187" t="s">
        <v>813</v>
      </c>
    </row>
    <row r="164" spans="1:13" ht="15.75" customHeight="1" x14ac:dyDescent="0.2">
      <c r="B164" s="223" t="s">
        <v>1034</v>
      </c>
      <c r="F164" s="30">
        <v>65799</v>
      </c>
      <c r="G164" s="30">
        <f>+H164</f>
        <v>60164</v>
      </c>
      <c r="H164" s="30">
        <v>60164</v>
      </c>
      <c r="J164" s="530"/>
    </row>
    <row r="165" spans="1:13" ht="15.75" customHeight="1" x14ac:dyDescent="0.2">
      <c r="B165" s="223" t="s">
        <v>1023</v>
      </c>
      <c r="F165" s="30">
        <v>189792</v>
      </c>
      <c r="G165" s="30">
        <f>313000-G164-G166-G168</f>
        <v>154473</v>
      </c>
      <c r="H165" s="30">
        <v>205828</v>
      </c>
      <c r="I165" s="9"/>
      <c r="J165" s="530"/>
    </row>
    <row r="166" spans="1:13" s="26" customFormat="1" ht="15.75" customHeight="1" x14ac:dyDescent="0.2">
      <c r="A166" s="238"/>
      <c r="B166" s="223" t="s">
        <v>843</v>
      </c>
      <c r="C166" s="8"/>
      <c r="D166" s="8"/>
      <c r="F166" s="30">
        <v>95826</v>
      </c>
      <c r="G166" s="30">
        <f>+H166</f>
        <v>93415</v>
      </c>
      <c r="H166" s="30">
        <v>93415</v>
      </c>
      <c r="J166" s="530"/>
    </row>
    <row r="167" spans="1:13" s="26" customFormat="1" ht="15.75" customHeight="1" x14ac:dyDescent="0.2">
      <c r="A167" s="238"/>
      <c r="B167" s="223" t="s">
        <v>851</v>
      </c>
      <c r="C167" s="8"/>
      <c r="D167" s="8"/>
      <c r="F167" s="30">
        <v>39592</v>
      </c>
      <c r="G167" s="257">
        <v>0</v>
      </c>
      <c r="H167" s="257">
        <v>8265</v>
      </c>
      <c r="J167" s="530"/>
    </row>
    <row r="168" spans="1:13" s="26" customFormat="1" ht="15.75" customHeight="1" x14ac:dyDescent="0.2">
      <c r="A168" s="238"/>
      <c r="B168" s="222" t="s">
        <v>1030</v>
      </c>
      <c r="C168" s="8"/>
      <c r="D168" s="8"/>
      <c r="F168" s="30">
        <v>4900</v>
      </c>
      <c r="G168" s="30">
        <f>+H168</f>
        <v>4948</v>
      </c>
      <c r="H168" s="30">
        <v>4948</v>
      </c>
      <c r="I168" s="55"/>
      <c r="J168" s="530"/>
    </row>
    <row r="169" spans="1:13" ht="15.75" customHeight="1" x14ac:dyDescent="0.2">
      <c r="D169" s="9"/>
      <c r="F169" s="93">
        <f>SUM(F164:F168)</f>
        <v>395909</v>
      </c>
      <c r="G169" s="93">
        <f>+'Comprehensive Income'!D26</f>
        <v>313000</v>
      </c>
      <c r="H169" s="93">
        <f>SUM(H164:H168)</f>
        <v>372620</v>
      </c>
    </row>
    <row r="170" spans="1:13" s="61" customFormat="1" ht="15.75" customHeight="1" x14ac:dyDescent="0.2">
      <c r="A170" s="244"/>
      <c r="B170" s="223"/>
      <c r="C170" s="8"/>
      <c r="D170" s="8"/>
      <c r="E170" s="8"/>
      <c r="F170" s="287"/>
      <c r="G170" s="31"/>
      <c r="H170" s="31"/>
    </row>
    <row r="171" spans="1:13" ht="15.75" customHeight="1" x14ac:dyDescent="0.2">
      <c r="A171" s="237">
        <f>A159+1</f>
        <v>12</v>
      </c>
      <c r="B171" s="227" t="s">
        <v>871</v>
      </c>
      <c r="C171" s="26"/>
      <c r="D171" s="26"/>
      <c r="E171" s="16"/>
      <c r="F171" s="185"/>
      <c r="G171" s="185"/>
      <c r="H171" s="214"/>
    </row>
    <row r="172" spans="1:13" ht="15.75" customHeight="1" x14ac:dyDescent="0.2">
      <c r="B172" s="106"/>
      <c r="E172" s="61"/>
      <c r="F172" s="186">
        <f>'Comprehensive Income'!$C$5</f>
        <v>2017</v>
      </c>
      <c r="G172" s="186">
        <f>'Comprehensive Income'!$D$5</f>
        <v>2017</v>
      </c>
      <c r="H172" s="186">
        <f>'Comprehensive Income'!$E$5</f>
        <v>2016</v>
      </c>
    </row>
    <row r="173" spans="1:13" ht="15.75" customHeight="1" x14ac:dyDescent="0.2">
      <c r="B173" s="106"/>
      <c r="F173" s="191" t="s">
        <v>814</v>
      </c>
      <c r="G173" s="187" t="s">
        <v>815</v>
      </c>
      <c r="H173" s="187" t="s">
        <v>814</v>
      </c>
    </row>
    <row r="174" spans="1:13" ht="15.75" customHeight="1" x14ac:dyDescent="0.2">
      <c r="B174" s="106"/>
      <c r="F174" s="191"/>
      <c r="G174" s="211" t="s">
        <v>369</v>
      </c>
      <c r="H174" s="187"/>
    </row>
    <row r="175" spans="1:13" ht="15.75" customHeight="1" x14ac:dyDescent="0.2">
      <c r="B175" s="230"/>
      <c r="C175" s="11"/>
      <c r="F175" s="191" t="s">
        <v>813</v>
      </c>
      <c r="G175" s="187" t="s">
        <v>813</v>
      </c>
      <c r="H175" s="187" t="s">
        <v>813</v>
      </c>
      <c r="I175" s="320"/>
      <c r="J175" s="9"/>
      <c r="K175" s="9"/>
      <c r="M175" s="26" t="s">
        <v>1055</v>
      </c>
    </row>
    <row r="176" spans="1:13" ht="15.75" customHeight="1" x14ac:dyDescent="0.2">
      <c r="B176" s="222" t="s">
        <v>852</v>
      </c>
      <c r="C176" s="11"/>
      <c r="F176" s="30">
        <f>+'Codes allocation'!C923</f>
        <v>1912.66</v>
      </c>
      <c r="G176" s="257">
        <f>+H176</f>
        <v>1913</v>
      </c>
      <c r="H176" s="30">
        <v>1913</v>
      </c>
      <c r="I176" s="320"/>
      <c r="J176" s="530"/>
    </row>
    <row r="177" spans="1:14" ht="15.75" customHeight="1" x14ac:dyDescent="0.2">
      <c r="B177" s="222" t="s">
        <v>245</v>
      </c>
      <c r="F177" s="30">
        <f>+'Codes allocation'!C921</f>
        <v>548126.94999999995</v>
      </c>
      <c r="G177" s="285">
        <v>815031</v>
      </c>
      <c r="H177" s="30">
        <v>361620</v>
      </c>
      <c r="I177" s="320"/>
      <c r="J177" s="530"/>
    </row>
    <row r="178" spans="1:14" ht="15.75" customHeight="1" x14ac:dyDescent="0.2">
      <c r="B178" s="223" t="s">
        <v>246</v>
      </c>
      <c r="D178" s="9"/>
      <c r="F178" s="30">
        <f>+'Codes allocation'!C922</f>
        <v>1097281.33</v>
      </c>
      <c r="G178" s="257">
        <f>+H178</f>
        <v>238243</v>
      </c>
      <c r="H178" s="30">
        <v>238243</v>
      </c>
      <c r="I178" s="320"/>
      <c r="J178" s="530"/>
      <c r="L178" s="9"/>
      <c r="M178" s="9"/>
      <c r="N178" s="9"/>
    </row>
    <row r="179" spans="1:14" ht="15.75" customHeight="1" x14ac:dyDescent="0.2">
      <c r="B179" s="223" t="s">
        <v>247</v>
      </c>
      <c r="D179" s="9"/>
      <c r="F179" s="346">
        <f>5204839-4128640</f>
        <v>1076199</v>
      </c>
      <c r="G179" s="346">
        <f>2154353-G176-G177-G178</f>
        <v>1099166</v>
      </c>
      <c r="H179" s="534" t="s">
        <v>832</v>
      </c>
      <c r="I179" s="320"/>
      <c r="J179" s="530"/>
      <c r="K179" s="9"/>
      <c r="L179" s="9"/>
      <c r="M179" s="9"/>
      <c r="N179" s="9"/>
    </row>
    <row r="180" spans="1:14" ht="15.75" customHeight="1" thickBot="1" x14ac:dyDescent="0.25">
      <c r="B180" s="223" t="s">
        <v>248</v>
      </c>
      <c r="F180" s="427">
        <f>SUM(F176:F179)</f>
        <v>2723519.94</v>
      </c>
      <c r="G180" s="427">
        <f>SUM(G176:G179)</f>
        <v>2154353</v>
      </c>
      <c r="H180" s="427">
        <f>SUM(H176:H179)-1</f>
        <v>601775</v>
      </c>
      <c r="I180" s="9"/>
      <c r="J180" s="9"/>
      <c r="K180" s="9"/>
    </row>
    <row r="181" spans="1:14" ht="15.75" customHeight="1" thickTop="1" x14ac:dyDescent="0.2">
      <c r="F181" s="30"/>
      <c r="G181" s="30"/>
      <c r="H181" s="30"/>
      <c r="I181" s="63"/>
      <c r="J181" s="9"/>
      <c r="K181" s="9"/>
    </row>
    <row r="182" spans="1:14" ht="15.75" customHeight="1" x14ac:dyDescent="0.2">
      <c r="B182" s="223" t="s">
        <v>249</v>
      </c>
      <c r="F182" s="30"/>
      <c r="G182" s="30"/>
      <c r="H182" s="30"/>
      <c r="I182" s="63"/>
      <c r="J182" s="9"/>
      <c r="K182" s="9"/>
    </row>
    <row r="183" spans="1:14" ht="15.75" customHeight="1" x14ac:dyDescent="0.2">
      <c r="F183" s="30"/>
      <c r="G183" s="30"/>
      <c r="H183" s="30"/>
      <c r="I183" s="63"/>
      <c r="J183" s="9"/>
      <c r="K183" s="9"/>
    </row>
    <row r="184" spans="1:14" ht="30.75" customHeight="1" x14ac:dyDescent="0.2">
      <c r="B184" s="624" t="s">
        <v>1362</v>
      </c>
      <c r="C184" s="624"/>
      <c r="D184" s="624"/>
      <c r="E184" s="624"/>
      <c r="F184" s="624"/>
      <c r="G184" s="624"/>
      <c r="H184" s="624"/>
      <c r="I184" s="63"/>
      <c r="J184" s="9"/>
      <c r="K184" s="9"/>
    </row>
    <row r="185" spans="1:14" ht="15.75" customHeight="1" x14ac:dyDescent="0.2">
      <c r="B185" s="258"/>
      <c r="C185" s="258"/>
      <c r="D185" s="258"/>
      <c r="E185" s="258"/>
      <c r="F185" s="258"/>
      <c r="G185" s="258"/>
      <c r="H185" s="258"/>
      <c r="J185" s="11"/>
    </row>
    <row r="186" spans="1:14" ht="15.75" customHeight="1" x14ac:dyDescent="0.25">
      <c r="A186" s="237">
        <f>A171+1</f>
        <v>13</v>
      </c>
      <c r="B186" s="231" t="s">
        <v>862</v>
      </c>
      <c r="E186" s="12"/>
      <c r="F186" s="30"/>
      <c r="G186" s="30"/>
      <c r="H186" s="31"/>
    </row>
    <row r="187" spans="1:14" ht="15.75" customHeight="1" x14ac:dyDescent="0.2">
      <c r="B187" s="106"/>
      <c r="F187" s="186">
        <f>'Comprehensive Income'!$C$5</f>
        <v>2017</v>
      </c>
      <c r="G187" s="186">
        <f>'Comprehensive Income'!$D$5</f>
        <v>2017</v>
      </c>
      <c r="H187" s="186">
        <f>'Comprehensive Income'!$E$5</f>
        <v>2016</v>
      </c>
    </row>
    <row r="188" spans="1:14" ht="15.75" customHeight="1" x14ac:dyDescent="0.2">
      <c r="B188" s="106"/>
      <c r="F188" s="191" t="s">
        <v>814</v>
      </c>
      <c r="G188" s="187" t="s">
        <v>815</v>
      </c>
      <c r="H188" s="187" t="s">
        <v>814</v>
      </c>
      <c r="I188" s="9"/>
    </row>
    <row r="189" spans="1:14" ht="15.75" customHeight="1" x14ac:dyDescent="0.2">
      <c r="B189" s="106"/>
      <c r="F189" s="191"/>
      <c r="G189" s="211" t="s">
        <v>369</v>
      </c>
      <c r="H189" s="187"/>
      <c r="I189" s="9"/>
    </row>
    <row r="190" spans="1:14" ht="15.75" customHeight="1" x14ac:dyDescent="0.2">
      <c r="B190" s="230"/>
      <c r="C190" s="11"/>
      <c r="F190" s="191" t="s">
        <v>813</v>
      </c>
      <c r="G190" s="187" t="s">
        <v>813</v>
      </c>
      <c r="H190" s="187" t="s">
        <v>813</v>
      </c>
    </row>
    <row r="191" spans="1:14" ht="15.75" customHeight="1" x14ac:dyDescent="0.2">
      <c r="B191" s="222" t="s">
        <v>829</v>
      </c>
      <c r="C191" s="11"/>
      <c r="D191" s="64"/>
      <c r="E191" s="9"/>
      <c r="F191" s="62">
        <f>+'Codes allocation'!D947-F192</f>
        <v>10516.269999999997</v>
      </c>
      <c r="G191" s="99">
        <v>59188</v>
      </c>
      <c r="H191" s="62">
        <v>44385</v>
      </c>
      <c r="I191" s="9"/>
      <c r="J191" s="532"/>
      <c r="K191" s="12"/>
      <c r="L191" s="92"/>
    </row>
    <row r="192" spans="1:14" ht="15.75" customHeight="1" x14ac:dyDescent="0.2">
      <c r="B192" s="184" t="s">
        <v>1278</v>
      </c>
      <c r="C192" s="11"/>
      <c r="D192" s="64"/>
      <c r="E192" s="9"/>
      <c r="F192" s="62">
        <f>+'Codes allocation'!C947</f>
        <v>48615.98</v>
      </c>
      <c r="G192" s="99">
        <v>0</v>
      </c>
      <c r="H192" s="62">
        <v>51601</v>
      </c>
      <c r="I192" s="9"/>
      <c r="J192" s="12"/>
      <c r="K192" s="12"/>
      <c r="L192" s="92"/>
    </row>
    <row r="193" spans="1:12" ht="15.75" customHeight="1" x14ac:dyDescent="0.2">
      <c r="B193" s="222" t="s">
        <v>250</v>
      </c>
      <c r="C193" s="11"/>
      <c r="D193" s="64"/>
      <c r="E193" s="9"/>
      <c r="F193" s="62">
        <f>+'Codes allocation'!C949</f>
        <v>48777.18</v>
      </c>
      <c r="G193" s="99">
        <v>27776</v>
      </c>
      <c r="H193" s="62">
        <f>+'Codes allocation'!G949</f>
        <v>35443.14</v>
      </c>
      <c r="I193" s="9"/>
      <c r="J193" s="12"/>
      <c r="K193" s="12"/>
      <c r="L193" s="92"/>
    </row>
    <row r="194" spans="1:12" ht="15.75" customHeight="1" x14ac:dyDescent="0.2">
      <c r="B194" s="222" t="s">
        <v>1062</v>
      </c>
      <c r="C194" s="11"/>
      <c r="D194" s="64"/>
      <c r="E194" s="9"/>
      <c r="F194" s="62">
        <f>+'Codes allocation'!C950</f>
        <v>249776.25</v>
      </c>
      <c r="G194" s="99">
        <v>259659</v>
      </c>
      <c r="H194" s="62">
        <v>288850</v>
      </c>
      <c r="I194" s="9"/>
      <c r="J194" s="532"/>
      <c r="K194" s="12"/>
      <c r="L194" s="92"/>
    </row>
    <row r="195" spans="1:12" ht="15.75" customHeight="1" x14ac:dyDescent="0.2">
      <c r="B195" s="222" t="s">
        <v>853</v>
      </c>
      <c r="E195" s="325"/>
      <c r="F195" s="52">
        <f>+'Codes allocation'!C948</f>
        <v>625600</v>
      </c>
      <c r="G195" s="425">
        <v>758578</v>
      </c>
      <c r="H195" s="52">
        <f>+'Codes allocation'!G948</f>
        <v>528914.47</v>
      </c>
      <c r="I195" s="11"/>
    </row>
    <row r="196" spans="1:12" ht="15.75" customHeight="1" thickBot="1" x14ac:dyDescent="0.25">
      <c r="F196" s="427">
        <f>SUM(F191:F195)</f>
        <v>983285.67999999993</v>
      </c>
      <c r="G196" s="427">
        <f>SUM(G191:G195)</f>
        <v>1105201</v>
      </c>
      <c r="H196" s="427">
        <f>SUM(H191:H195)</f>
        <v>949193.61</v>
      </c>
    </row>
    <row r="197" spans="1:12" ht="15.75" customHeight="1" thickTop="1" x14ac:dyDescent="0.2">
      <c r="F197" s="68"/>
      <c r="G197" s="68"/>
      <c r="H197" s="68"/>
    </row>
    <row r="198" spans="1:12" ht="15.75" customHeight="1" x14ac:dyDescent="0.2">
      <c r="B198" s="223" t="s">
        <v>251</v>
      </c>
      <c r="F198" s="68">
        <f>+F193</f>
        <v>48777.18</v>
      </c>
      <c r="G198" s="68">
        <f>+G193</f>
        <v>27776</v>
      </c>
      <c r="H198" s="68">
        <f>+H193</f>
        <v>35443.14</v>
      </c>
    </row>
    <row r="199" spans="1:12" ht="15.75" customHeight="1" x14ac:dyDescent="0.2">
      <c r="B199" s="223" t="s">
        <v>252</v>
      </c>
      <c r="F199" s="68">
        <f>+F196-F193</f>
        <v>934508.49999999988</v>
      </c>
      <c r="G199" s="68">
        <f>+G196-G193</f>
        <v>1077425</v>
      </c>
      <c r="H199" s="68">
        <v>913751</v>
      </c>
    </row>
    <row r="200" spans="1:12" ht="15.75" customHeight="1" thickBot="1" x14ac:dyDescent="0.25">
      <c r="F200" s="426">
        <f>SUM(F198:F199)</f>
        <v>983285.67999999993</v>
      </c>
      <c r="G200" s="426">
        <f>SUM(G198:G199)</f>
        <v>1105201</v>
      </c>
      <c r="H200" s="426">
        <f>SUM(H198:H199)</f>
        <v>949194.14</v>
      </c>
    </row>
    <row r="201" spans="1:12" ht="15.75" customHeight="1" thickTop="1" x14ac:dyDescent="0.2">
      <c r="F201" s="68"/>
      <c r="G201" s="68"/>
      <c r="H201" s="68"/>
    </row>
    <row r="202" spans="1:12" ht="15.75" customHeight="1" x14ac:dyDescent="0.2">
      <c r="F202" s="68"/>
      <c r="G202" s="68"/>
      <c r="H202" s="68"/>
    </row>
    <row r="203" spans="1:12" ht="15.75" customHeight="1" x14ac:dyDescent="0.25">
      <c r="A203" s="237">
        <f>+A186+1</f>
        <v>14</v>
      </c>
      <c r="B203" s="231" t="s">
        <v>823</v>
      </c>
      <c r="F203" s="68"/>
      <c r="G203" s="68"/>
      <c r="H203" s="68"/>
    </row>
    <row r="204" spans="1:12" ht="15.75" customHeight="1" x14ac:dyDescent="0.2">
      <c r="F204" s="186">
        <f>'Comprehensive Income'!$C$5</f>
        <v>2017</v>
      </c>
      <c r="G204" s="186">
        <f>'Comprehensive Income'!$D$5</f>
        <v>2017</v>
      </c>
      <c r="H204" s="186">
        <f>'Comprehensive Income'!$E$5</f>
        <v>2016</v>
      </c>
    </row>
    <row r="205" spans="1:12" ht="15.75" customHeight="1" x14ac:dyDescent="0.2">
      <c r="F205" s="191" t="s">
        <v>814</v>
      </c>
      <c r="G205" s="187" t="s">
        <v>815</v>
      </c>
      <c r="H205" s="187" t="s">
        <v>814</v>
      </c>
    </row>
    <row r="206" spans="1:12" ht="15.75" customHeight="1" x14ac:dyDescent="0.2">
      <c r="F206" s="191"/>
      <c r="G206" s="211" t="s">
        <v>369</v>
      </c>
      <c r="H206" s="187"/>
    </row>
    <row r="207" spans="1:12" ht="15.75" customHeight="1" x14ac:dyDescent="0.2">
      <c r="F207" s="191" t="s">
        <v>813</v>
      </c>
      <c r="G207" s="187" t="s">
        <v>813</v>
      </c>
      <c r="H207" s="187" t="s">
        <v>813</v>
      </c>
    </row>
    <row r="208" spans="1:12" ht="15.75" customHeight="1" x14ac:dyDescent="0.2">
      <c r="B208" s="223" t="s">
        <v>1017</v>
      </c>
      <c r="F208" s="68">
        <f>+'Codes allocation'!C958</f>
        <v>3142.81</v>
      </c>
      <c r="G208" s="68">
        <f>+H208</f>
        <v>3534.61</v>
      </c>
      <c r="H208" s="68">
        <f>+'Codes allocation'!G958</f>
        <v>3534.61</v>
      </c>
    </row>
    <row r="209" spans="1:10" ht="15.75" customHeight="1" x14ac:dyDescent="0.2">
      <c r="F209" s="68"/>
      <c r="G209" s="68"/>
      <c r="H209" s="68"/>
    </row>
    <row r="210" spans="1:10" ht="15.75" customHeight="1" x14ac:dyDescent="0.2">
      <c r="F210" s="68"/>
      <c r="G210" s="68"/>
      <c r="H210" s="68"/>
    </row>
    <row r="211" spans="1:10" ht="15.75" customHeight="1" x14ac:dyDescent="0.2">
      <c r="F211" s="68"/>
      <c r="G211" s="68"/>
      <c r="H211" s="68"/>
    </row>
    <row r="212" spans="1:10" ht="15.75" customHeight="1" x14ac:dyDescent="0.25">
      <c r="A212" s="237">
        <f>+A203+1</f>
        <v>15</v>
      </c>
      <c r="B212" s="231" t="s">
        <v>1024</v>
      </c>
      <c r="E212" s="12"/>
      <c r="F212" s="30"/>
      <c r="G212" s="30"/>
      <c r="H212" s="31"/>
    </row>
    <row r="213" spans="1:10" ht="15.75" customHeight="1" x14ac:dyDescent="0.2">
      <c r="B213" s="223" t="s">
        <v>253</v>
      </c>
      <c r="E213" s="12"/>
      <c r="F213" s="186">
        <f>'Comprehensive Income'!$C$5</f>
        <v>2017</v>
      </c>
      <c r="G213" s="186">
        <f>'Comprehensive Income'!$D$5</f>
        <v>2017</v>
      </c>
      <c r="H213" s="186">
        <f>'Comprehensive Income'!$E$5</f>
        <v>2016</v>
      </c>
    </row>
    <row r="214" spans="1:10" ht="15.75" customHeight="1" x14ac:dyDescent="0.2">
      <c r="E214" s="12"/>
      <c r="F214" s="191" t="s">
        <v>814</v>
      </c>
      <c r="G214" s="187" t="s">
        <v>815</v>
      </c>
      <c r="H214" s="187" t="s">
        <v>814</v>
      </c>
    </row>
    <row r="215" spans="1:10" ht="15.75" customHeight="1" x14ac:dyDescent="0.2">
      <c r="E215" s="12"/>
      <c r="F215" s="191"/>
      <c r="G215" s="211" t="s">
        <v>369</v>
      </c>
      <c r="H215" s="187"/>
    </row>
    <row r="216" spans="1:10" ht="15.75" customHeight="1" x14ac:dyDescent="0.2">
      <c r="B216" s="223" t="s">
        <v>834</v>
      </c>
      <c r="E216" s="12"/>
      <c r="F216" s="187" t="s">
        <v>813</v>
      </c>
      <c r="G216" s="187" t="s">
        <v>813</v>
      </c>
      <c r="H216" s="187" t="s">
        <v>813</v>
      </c>
    </row>
    <row r="217" spans="1:10" ht="15.75" customHeight="1" x14ac:dyDescent="0.2">
      <c r="A217" s="239"/>
      <c r="B217" s="184" t="s">
        <v>254</v>
      </c>
      <c r="C217" s="26"/>
      <c r="D217" s="46"/>
      <c r="F217" s="101">
        <f>1972731+4128640</f>
        <v>6101371</v>
      </c>
      <c r="G217" s="101">
        <v>2854693</v>
      </c>
      <c r="H217" s="101">
        <v>6852768</v>
      </c>
      <c r="I217" s="67"/>
      <c r="J217" s="530"/>
    </row>
    <row r="218" spans="1:10" ht="15.75" customHeight="1" x14ac:dyDescent="0.2">
      <c r="B218" s="223" t="s">
        <v>255</v>
      </c>
      <c r="D218" s="46"/>
      <c r="F218" s="100"/>
      <c r="G218" s="68"/>
      <c r="H218" s="102"/>
    </row>
    <row r="219" spans="1:10" ht="15.75" customHeight="1" x14ac:dyDescent="0.2">
      <c r="D219" s="46"/>
      <c r="F219" s="100"/>
      <c r="G219" s="68"/>
      <c r="H219" s="102"/>
    </row>
    <row r="220" spans="1:10" ht="15.75" customHeight="1" x14ac:dyDescent="0.2">
      <c r="B220" s="223" t="s">
        <v>256</v>
      </c>
      <c r="D220" s="46"/>
      <c r="F220" s="100"/>
      <c r="G220" s="68"/>
      <c r="H220" s="102"/>
    </row>
    <row r="221" spans="1:10" ht="15.75" customHeight="1" x14ac:dyDescent="0.2">
      <c r="B221" s="223" t="s">
        <v>257</v>
      </c>
      <c r="D221" s="46"/>
      <c r="F221" s="100">
        <v>0</v>
      </c>
      <c r="G221" s="68">
        <v>0</v>
      </c>
      <c r="H221" s="102" t="s">
        <v>832</v>
      </c>
      <c r="J221" s="530"/>
    </row>
    <row r="222" spans="1:10" ht="15.75" customHeight="1" x14ac:dyDescent="0.2">
      <c r="D222" s="46"/>
      <c r="F222" s="100"/>
      <c r="G222" s="68"/>
      <c r="H222" s="102"/>
    </row>
    <row r="223" spans="1:10" ht="15.75" customHeight="1" x14ac:dyDescent="0.2">
      <c r="D223" s="46"/>
      <c r="F223" s="100"/>
      <c r="G223" s="68"/>
      <c r="H223" s="102"/>
    </row>
    <row r="224" spans="1:10" ht="15.75" customHeight="1" x14ac:dyDescent="0.2">
      <c r="B224" s="184" t="s">
        <v>1330</v>
      </c>
      <c r="D224" s="46"/>
      <c r="F224" s="100"/>
      <c r="G224" s="68"/>
      <c r="H224" s="102"/>
    </row>
    <row r="225" spans="1:12" ht="15.75" customHeight="1" x14ac:dyDescent="0.2">
      <c r="D225" s="46"/>
      <c r="F225" s="100"/>
      <c r="G225" s="68"/>
      <c r="H225" s="102"/>
    </row>
    <row r="226" spans="1:12" s="61" customFormat="1" ht="15.75" customHeight="1" x14ac:dyDescent="0.2">
      <c r="A226" s="237">
        <f>A212+1</f>
        <v>16</v>
      </c>
      <c r="B226" s="227" t="s">
        <v>872</v>
      </c>
      <c r="C226" s="16"/>
      <c r="D226" s="65"/>
      <c r="E226" s="65"/>
      <c r="F226" s="186"/>
      <c r="G226" s="186"/>
      <c r="H226" s="186"/>
      <c r="J226" s="530"/>
    </row>
    <row r="227" spans="1:12" ht="43.5" customHeight="1" x14ac:dyDescent="0.2">
      <c r="B227" s="184"/>
      <c r="C227" s="61"/>
      <c r="D227" s="66" t="s">
        <v>258</v>
      </c>
      <c r="E227" s="70" t="s">
        <v>259</v>
      </c>
      <c r="F227" s="429" t="s">
        <v>260</v>
      </c>
      <c r="G227" s="429" t="s">
        <v>261</v>
      </c>
      <c r="H227" s="430" t="s">
        <v>821</v>
      </c>
      <c r="I227" s="428" t="s">
        <v>262</v>
      </c>
    </row>
    <row r="228" spans="1:12" ht="15.75" customHeight="1" x14ac:dyDescent="0.2">
      <c r="B228" s="54">
        <f>'Comprehensive Income'!C5</f>
        <v>2017</v>
      </c>
      <c r="D228" s="70" t="s">
        <v>813</v>
      </c>
      <c r="E228" s="70" t="s">
        <v>813</v>
      </c>
      <c r="F228" s="70" t="s">
        <v>813</v>
      </c>
      <c r="G228" s="70" t="s">
        <v>813</v>
      </c>
      <c r="H228" s="70" t="s">
        <v>813</v>
      </c>
      <c r="I228" s="70" t="s">
        <v>813</v>
      </c>
    </row>
    <row r="229" spans="1:12" ht="15.75" customHeight="1" x14ac:dyDescent="0.2">
      <c r="B229" s="223" t="s">
        <v>932</v>
      </c>
      <c r="D229" s="453">
        <f>+I251</f>
        <v>1146505</v>
      </c>
      <c r="E229" s="454">
        <v>71226</v>
      </c>
      <c r="F229" s="454">
        <v>0</v>
      </c>
      <c r="G229" s="454">
        <v>0</v>
      </c>
      <c r="H229" s="560">
        <v>-65799</v>
      </c>
      <c r="I229" s="453">
        <f>+D229+E229+F229+H229</f>
        <v>1151932</v>
      </c>
    </row>
    <row r="230" spans="1:12" ht="15.75" customHeight="1" x14ac:dyDescent="0.2">
      <c r="B230" s="223" t="s">
        <v>1023</v>
      </c>
      <c r="D230" s="453">
        <f>+I252</f>
        <v>875607</v>
      </c>
      <c r="E230" s="454">
        <v>364479</v>
      </c>
      <c r="F230" s="560">
        <v>-2976</v>
      </c>
      <c r="G230" s="454">
        <v>0</v>
      </c>
      <c r="H230" s="560">
        <v>-189792</v>
      </c>
      <c r="I230" s="453">
        <f t="shared" ref="I230:I233" si="0">+D230+E230+F230+H230</f>
        <v>1047318</v>
      </c>
      <c r="J230" s="286"/>
    </row>
    <row r="231" spans="1:12" ht="15.75" customHeight="1" x14ac:dyDescent="0.2">
      <c r="B231" s="222" t="s">
        <v>843</v>
      </c>
      <c r="D231" s="453">
        <f>+I253</f>
        <v>305015</v>
      </c>
      <c r="E231" s="454">
        <v>100239</v>
      </c>
      <c r="F231" s="560">
        <v>-3204</v>
      </c>
      <c r="G231" s="454">
        <v>0</v>
      </c>
      <c r="H231" s="560">
        <v>-95826</v>
      </c>
      <c r="I231" s="453">
        <f t="shared" si="0"/>
        <v>306224</v>
      </c>
    </row>
    <row r="232" spans="1:12" ht="15.75" customHeight="1" x14ac:dyDescent="0.2">
      <c r="B232" s="184" t="s">
        <v>851</v>
      </c>
      <c r="D232" s="453">
        <f>+I254</f>
        <v>110581</v>
      </c>
      <c r="E232" s="454">
        <v>0</v>
      </c>
      <c r="F232" s="455">
        <v>0</v>
      </c>
      <c r="G232" s="454">
        <v>0</v>
      </c>
      <c r="H232" s="560">
        <v>-4900</v>
      </c>
      <c r="I232" s="453">
        <f t="shared" si="0"/>
        <v>105681</v>
      </c>
    </row>
    <row r="233" spans="1:12" ht="15.75" customHeight="1" x14ac:dyDescent="0.2">
      <c r="B233" s="222" t="s">
        <v>1025</v>
      </c>
      <c r="D233" s="453">
        <f>+I255</f>
        <v>26600</v>
      </c>
      <c r="E233" s="454">
        <v>43498</v>
      </c>
      <c r="F233" s="454">
        <v>0</v>
      </c>
      <c r="G233" s="454">
        <v>0</v>
      </c>
      <c r="H233" s="560">
        <v>-39592</v>
      </c>
      <c r="I233" s="453">
        <f t="shared" si="0"/>
        <v>30506</v>
      </c>
      <c r="J233" s="9"/>
    </row>
    <row r="234" spans="1:12" s="61" customFormat="1" ht="15.75" customHeight="1" x14ac:dyDescent="0.2">
      <c r="A234" s="244"/>
      <c r="B234" s="223"/>
      <c r="C234" s="26"/>
      <c r="D234" s="26"/>
      <c r="E234" s="431"/>
      <c r="F234" s="217"/>
      <c r="G234" s="217"/>
      <c r="H234" s="217"/>
    </row>
    <row r="235" spans="1:12" ht="15.75" customHeight="1" thickBot="1" x14ac:dyDescent="0.25">
      <c r="B235" s="184" t="s">
        <v>1350</v>
      </c>
      <c r="C235" s="61"/>
      <c r="D235" s="456">
        <f t="shared" ref="D235:I235" si="1">SUM(D229:D234)</f>
        <v>2464308</v>
      </c>
      <c r="E235" s="456">
        <f t="shared" si="1"/>
        <v>579442</v>
      </c>
      <c r="F235" s="561">
        <f t="shared" si="1"/>
        <v>-6180</v>
      </c>
      <c r="G235" s="456">
        <f t="shared" si="1"/>
        <v>0</v>
      </c>
      <c r="H235" s="561">
        <f>SUM(H229:H234)</f>
        <v>-395909</v>
      </c>
      <c r="I235" s="456">
        <f t="shared" si="1"/>
        <v>2641661</v>
      </c>
      <c r="J235" s="453"/>
    </row>
    <row r="236" spans="1:12" ht="15.75" customHeight="1" thickTop="1" x14ac:dyDescent="0.2">
      <c r="B236" s="57"/>
      <c r="C236" s="57"/>
      <c r="D236" s="57"/>
      <c r="E236" s="57"/>
      <c r="F236" s="57"/>
      <c r="H236" s="51"/>
    </row>
    <row r="237" spans="1:12" ht="15.75" customHeight="1" x14ac:dyDescent="0.2">
      <c r="B237" s="432">
        <f>+B228</f>
        <v>2017</v>
      </c>
      <c r="C237" s="18"/>
      <c r="D237" s="18"/>
      <c r="E237" s="18"/>
      <c r="F237" s="193"/>
      <c r="G237" s="193"/>
      <c r="H237" s="193"/>
      <c r="I237" s="12"/>
      <c r="K237" s="67"/>
      <c r="L237" s="67"/>
    </row>
    <row r="238" spans="1:12" ht="15.75" customHeight="1" x14ac:dyDescent="0.2">
      <c r="B238" s="433"/>
      <c r="C238" s="18"/>
      <c r="D238" s="18"/>
      <c r="E238" s="18"/>
      <c r="F238" s="217"/>
      <c r="G238" s="217"/>
      <c r="H238" s="217"/>
      <c r="I238" s="18"/>
    </row>
    <row r="239" spans="1:12" ht="27.75" customHeight="1" x14ac:dyDescent="0.2">
      <c r="B239" s="434"/>
      <c r="C239" s="18"/>
      <c r="D239" s="18"/>
      <c r="E239" s="18"/>
      <c r="F239" s="217"/>
      <c r="G239" s="430" t="s">
        <v>263</v>
      </c>
      <c r="H239" s="430" t="s">
        <v>264</v>
      </c>
      <c r="I239" s="444" t="s">
        <v>265</v>
      </c>
    </row>
    <row r="240" spans="1:12" ht="15.75" customHeight="1" x14ac:dyDescent="0.2">
      <c r="B240" s="435"/>
      <c r="C240" s="18"/>
      <c r="D240" s="18"/>
      <c r="E240" s="18"/>
      <c r="F240" s="217"/>
      <c r="G240" s="445" t="s">
        <v>813</v>
      </c>
      <c r="H240" s="445" t="s">
        <v>813</v>
      </c>
      <c r="I240" s="445" t="s">
        <v>813</v>
      </c>
    </row>
    <row r="241" spans="1:10" ht="15.75" customHeight="1" x14ac:dyDescent="0.2">
      <c r="B241" s="223" t="s">
        <v>932</v>
      </c>
      <c r="C241" s="18"/>
      <c r="D241" s="18"/>
      <c r="E241" s="18"/>
      <c r="F241" s="217"/>
      <c r="G241" s="217">
        <f>+G263+E229-F229</f>
        <v>1335710</v>
      </c>
      <c r="H241" s="217">
        <f>-(+G241-I241)</f>
        <v>-183778</v>
      </c>
      <c r="I241" s="454">
        <f>+I229</f>
        <v>1151932</v>
      </c>
    </row>
    <row r="242" spans="1:10" s="40" customFormat="1" ht="15.75" customHeight="1" x14ac:dyDescent="0.2">
      <c r="A242" s="243"/>
      <c r="B242" s="223" t="s">
        <v>1023</v>
      </c>
      <c r="C242" s="431"/>
      <c r="D242" s="431"/>
      <c r="E242" s="431"/>
      <c r="F242" s="68"/>
      <c r="G242" s="217">
        <f>+G264+E230-F230</f>
        <v>2662935</v>
      </c>
      <c r="H242" s="217">
        <f>-(+G242-I242)</f>
        <v>-1615617</v>
      </c>
      <c r="I242" s="454">
        <f t="shared" ref="I242:I245" si="2">+I230</f>
        <v>1047318</v>
      </c>
    </row>
    <row r="243" spans="1:10" s="40" customFormat="1" ht="15.75" customHeight="1" x14ac:dyDescent="0.2">
      <c r="A243" s="243"/>
      <c r="B243" s="222" t="s">
        <v>843</v>
      </c>
      <c r="C243" s="431"/>
      <c r="D243" s="431"/>
      <c r="E243" s="12"/>
      <c r="F243" s="68"/>
      <c r="G243" s="217">
        <f>+G265+E231-F231</f>
        <v>829361</v>
      </c>
      <c r="H243" s="217">
        <f>-(+G243-I243)</f>
        <v>-523137</v>
      </c>
      <c r="I243" s="454">
        <f t="shared" si="2"/>
        <v>306224</v>
      </c>
    </row>
    <row r="244" spans="1:10" s="40" customFormat="1" ht="15.75" customHeight="1" x14ac:dyDescent="0.2">
      <c r="A244" s="243"/>
      <c r="B244" s="184" t="s">
        <v>1075</v>
      </c>
      <c r="C244" s="431"/>
      <c r="D244" s="431"/>
      <c r="E244" s="12"/>
      <c r="F244" s="68"/>
      <c r="G244" s="217">
        <f>+G266+E232-F232</f>
        <v>118846</v>
      </c>
      <c r="H244" s="217">
        <f>-(+G244-I244)</f>
        <v>-13165</v>
      </c>
      <c r="I244" s="454">
        <f t="shared" si="2"/>
        <v>105681</v>
      </c>
    </row>
    <row r="245" spans="1:10" s="95" customFormat="1" ht="15.75" customHeight="1" x14ac:dyDescent="0.25">
      <c r="A245" s="245"/>
      <c r="B245" s="222" t="s">
        <v>1025</v>
      </c>
      <c r="C245" s="437"/>
      <c r="D245" s="437"/>
      <c r="E245" s="437"/>
      <c r="F245" s="438"/>
      <c r="G245" s="217">
        <f>+G267+E233-F233</f>
        <v>118126</v>
      </c>
      <c r="H245" s="217">
        <f>-(+G245-I245)</f>
        <v>-87620</v>
      </c>
      <c r="I245" s="454">
        <f t="shared" si="2"/>
        <v>30506</v>
      </c>
    </row>
    <row r="246" spans="1:10" s="95" customFormat="1" ht="15.75" customHeight="1" x14ac:dyDescent="0.25">
      <c r="A246" s="245"/>
      <c r="B246" s="436"/>
      <c r="C246" s="437"/>
      <c r="D246" s="437"/>
      <c r="E246" s="437"/>
      <c r="F246" s="438"/>
      <c r="G246" s="438"/>
      <c r="H246" s="440"/>
      <c r="I246" s="439"/>
    </row>
    <row r="247" spans="1:10" customFormat="1" ht="15.75" customHeight="1" thickBot="1" x14ac:dyDescent="0.25">
      <c r="A247" s="242"/>
      <c r="B247" s="184" t="s">
        <v>1350</v>
      </c>
      <c r="C247" s="45"/>
      <c r="D247" s="45"/>
      <c r="E247" s="45"/>
      <c r="F247" s="442"/>
      <c r="G247" s="446">
        <f>SUM(G241:G246)</f>
        <v>5064978</v>
      </c>
      <c r="H247" s="446">
        <f>SUM(H241:H246)</f>
        <v>-2423317</v>
      </c>
      <c r="I247" s="446">
        <f>SUM(I241:I246)</f>
        <v>2641661</v>
      </c>
    </row>
    <row r="248" spans="1:10" customFormat="1" ht="15.75" customHeight="1" thickTop="1" x14ac:dyDescent="0.2">
      <c r="A248" s="242"/>
      <c r="B248" s="441"/>
      <c r="C248" s="45"/>
      <c r="D248" s="45"/>
      <c r="E248" s="45"/>
      <c r="F248" s="442"/>
      <c r="G248" s="172"/>
      <c r="H248" s="172"/>
      <c r="I248" s="19"/>
      <c r="J248" s="7"/>
    </row>
    <row r="249" spans="1:10" customFormat="1" ht="38.25" customHeight="1" x14ac:dyDescent="0.2">
      <c r="A249" s="242"/>
      <c r="B249" s="184"/>
      <c r="C249" s="61"/>
      <c r="D249" s="66" t="s">
        <v>258</v>
      </c>
      <c r="E249" s="70" t="s">
        <v>259</v>
      </c>
      <c r="F249" s="429" t="s">
        <v>260</v>
      </c>
      <c r="G249" s="429" t="s">
        <v>261</v>
      </c>
      <c r="H249" s="430" t="s">
        <v>821</v>
      </c>
      <c r="I249" s="428" t="s">
        <v>262</v>
      </c>
    </row>
    <row r="250" spans="1:10" customFormat="1" ht="15.75" customHeight="1" x14ac:dyDescent="0.2">
      <c r="A250" s="242"/>
      <c r="B250" s="54">
        <v>2016</v>
      </c>
      <c r="C250" s="8"/>
      <c r="D250" s="70" t="s">
        <v>813</v>
      </c>
      <c r="E250" s="70" t="s">
        <v>813</v>
      </c>
      <c r="F250" s="70" t="s">
        <v>813</v>
      </c>
      <c r="G250" s="70" t="s">
        <v>813</v>
      </c>
      <c r="H250" s="70" t="s">
        <v>813</v>
      </c>
      <c r="I250" s="70" t="s">
        <v>813</v>
      </c>
    </row>
    <row r="251" spans="1:10" customFormat="1" ht="15.75" customHeight="1" x14ac:dyDescent="0.2">
      <c r="A251" s="242"/>
      <c r="B251" s="223" t="s">
        <v>932</v>
      </c>
      <c r="C251" s="8"/>
      <c r="D251" s="453">
        <v>1053056</v>
      </c>
      <c r="E251" s="454">
        <v>155938</v>
      </c>
      <c r="F251" s="560">
        <v>-2325</v>
      </c>
      <c r="G251" s="455">
        <v>0</v>
      </c>
      <c r="H251" s="560">
        <f>-(+H164)</f>
        <v>-60164</v>
      </c>
      <c r="I251" s="453">
        <f>+D251+E251+F251+H251</f>
        <v>1146505</v>
      </c>
      <c r="J251" s="331"/>
    </row>
    <row r="252" spans="1:10" customFormat="1" ht="15.75" customHeight="1" x14ac:dyDescent="0.2">
      <c r="A252" s="242"/>
      <c r="B252" s="223" t="s">
        <v>1023</v>
      </c>
      <c r="C252" s="8"/>
      <c r="D252" s="453">
        <v>1001283</v>
      </c>
      <c r="E252" s="454">
        <v>82558</v>
      </c>
      <c r="F252" s="560">
        <v>-2406</v>
      </c>
      <c r="G252" s="455">
        <v>0</v>
      </c>
      <c r="H252" s="560">
        <f>-(+H165)</f>
        <v>-205828</v>
      </c>
      <c r="I252" s="453">
        <f t="shared" ref="I252:I255" si="3">+D252+E252+F252+H252</f>
        <v>875607</v>
      </c>
      <c r="J252" s="331"/>
    </row>
    <row r="253" spans="1:10" customFormat="1" ht="15.75" customHeight="1" x14ac:dyDescent="0.2">
      <c r="A253" s="242"/>
      <c r="B253" s="222" t="s">
        <v>843</v>
      </c>
      <c r="C253" s="8"/>
      <c r="D253" s="453">
        <v>171247</v>
      </c>
      <c r="E253" s="454">
        <v>229957</v>
      </c>
      <c r="F253" s="560">
        <v>-2774</v>
      </c>
      <c r="G253" s="455">
        <v>0</v>
      </c>
      <c r="H253" s="560">
        <f>-(+H166)</f>
        <v>-93415</v>
      </c>
      <c r="I253" s="453">
        <f t="shared" si="3"/>
        <v>305015</v>
      </c>
      <c r="J253" s="331"/>
    </row>
    <row r="254" spans="1:10" customFormat="1" ht="15.75" customHeight="1" x14ac:dyDescent="0.2">
      <c r="A254" s="242"/>
      <c r="B254" s="184" t="s">
        <v>1075</v>
      </c>
      <c r="C254" s="8"/>
      <c r="D254" s="455">
        <v>0</v>
      </c>
      <c r="E254" s="454">
        <v>118846</v>
      </c>
      <c r="F254" s="455">
        <v>0</v>
      </c>
      <c r="G254" s="455">
        <v>0</v>
      </c>
      <c r="H254" s="560">
        <f>-(H167)</f>
        <v>-8265</v>
      </c>
      <c r="I254" s="453">
        <f t="shared" si="3"/>
        <v>110581</v>
      </c>
      <c r="J254" s="331"/>
    </row>
    <row r="255" spans="1:10" customFormat="1" ht="15.75" customHeight="1" x14ac:dyDescent="0.2">
      <c r="A255" s="242"/>
      <c r="B255" s="222" t="s">
        <v>1025</v>
      </c>
      <c r="C255" s="8"/>
      <c r="D255" s="453">
        <v>31548</v>
      </c>
      <c r="E255" s="454">
        <v>0</v>
      </c>
      <c r="F255" s="455">
        <v>0</v>
      </c>
      <c r="G255" s="455">
        <v>0</v>
      </c>
      <c r="H255" s="560">
        <f>-(+H168)</f>
        <v>-4948</v>
      </c>
      <c r="I255" s="453">
        <f t="shared" si="3"/>
        <v>26600</v>
      </c>
      <c r="J255" s="331"/>
    </row>
    <row r="256" spans="1:10" customFormat="1" ht="15.75" customHeight="1" x14ac:dyDescent="0.2">
      <c r="A256" s="242"/>
      <c r="B256" s="223"/>
      <c r="C256" s="26"/>
      <c r="D256" s="26"/>
      <c r="E256" s="431"/>
      <c r="F256" s="217"/>
      <c r="G256" s="217"/>
      <c r="H256" s="217"/>
      <c r="I256" s="61"/>
      <c r="J256" s="331">
        <f>+D256+E256-H256</f>
        <v>0</v>
      </c>
    </row>
    <row r="257" spans="1:9" customFormat="1" ht="15.75" customHeight="1" thickBot="1" x14ac:dyDescent="0.25">
      <c r="A257" s="242"/>
      <c r="B257" s="184" t="s">
        <v>1274</v>
      </c>
      <c r="C257" s="61"/>
      <c r="D257" s="456">
        <f t="shared" ref="D257:I257" si="4">SUM(D251:D256)</f>
        <v>2257134</v>
      </c>
      <c r="E257" s="456">
        <f t="shared" si="4"/>
        <v>587299</v>
      </c>
      <c r="F257" s="561">
        <f t="shared" si="4"/>
        <v>-7505</v>
      </c>
      <c r="G257" s="456">
        <f t="shared" si="4"/>
        <v>0</v>
      </c>
      <c r="H257" s="561">
        <f t="shared" si="4"/>
        <v>-372620</v>
      </c>
      <c r="I257" s="456">
        <f t="shared" si="4"/>
        <v>2464308</v>
      </c>
    </row>
    <row r="258" spans="1:9" customFormat="1" ht="15.75" customHeight="1" thickTop="1" x14ac:dyDescent="0.2">
      <c r="A258" s="242"/>
      <c r="B258" s="57"/>
      <c r="C258" s="57"/>
      <c r="D258" s="57"/>
      <c r="E258" s="57"/>
      <c r="F258" s="57"/>
      <c r="G258" s="31"/>
      <c r="H258" s="51"/>
      <c r="I258" s="8"/>
    </row>
    <row r="259" spans="1:9" customFormat="1" ht="15.75" customHeight="1" x14ac:dyDescent="0.2">
      <c r="A259" s="242"/>
      <c r="B259" s="432">
        <f>+B250</f>
        <v>2016</v>
      </c>
      <c r="C259" s="18"/>
      <c r="D259" s="18"/>
      <c r="E259" s="18"/>
      <c r="F259" s="193"/>
      <c r="G259" s="193"/>
      <c r="H259" s="193"/>
      <c r="I259" s="12"/>
    </row>
    <row r="260" spans="1:9" customFormat="1" ht="15.75" customHeight="1" x14ac:dyDescent="0.2">
      <c r="A260" s="242"/>
      <c r="B260" s="433"/>
      <c r="C260" s="18"/>
      <c r="D260" s="18"/>
      <c r="E260" s="18"/>
      <c r="F260" s="217"/>
      <c r="G260" s="217"/>
      <c r="H260" s="217"/>
      <c r="I260" s="18"/>
    </row>
    <row r="261" spans="1:9" customFormat="1" ht="30.75" customHeight="1" x14ac:dyDescent="0.2">
      <c r="A261" s="242"/>
      <c r="B261" s="434"/>
      <c r="C261" s="18"/>
      <c r="D261" s="18"/>
      <c r="E261" s="18"/>
      <c r="F261" s="217"/>
      <c r="G261" s="430" t="s">
        <v>263</v>
      </c>
      <c r="H261" s="430" t="s">
        <v>264</v>
      </c>
      <c r="I261" s="444" t="s">
        <v>265</v>
      </c>
    </row>
    <row r="262" spans="1:9" customFormat="1" ht="15.75" customHeight="1" x14ac:dyDescent="0.2">
      <c r="A262" s="242"/>
      <c r="B262" s="435"/>
      <c r="C262" s="18"/>
      <c r="D262" s="18"/>
      <c r="E262" s="18"/>
      <c r="F262" s="217"/>
      <c r="G262" s="445" t="s">
        <v>813</v>
      </c>
      <c r="H262" s="445" t="s">
        <v>813</v>
      </c>
      <c r="I262" s="445" t="s">
        <v>813</v>
      </c>
    </row>
    <row r="263" spans="1:9" customFormat="1" ht="15.75" customHeight="1" x14ac:dyDescent="0.2">
      <c r="A263" s="242"/>
      <c r="B263" s="223" t="s">
        <v>932</v>
      </c>
      <c r="C263" s="18"/>
      <c r="D263" s="18"/>
      <c r="E263" s="18"/>
      <c r="F263" s="217"/>
      <c r="G263" s="455">
        <v>1264484</v>
      </c>
      <c r="H263" s="217">
        <v>-117979</v>
      </c>
      <c r="I263" s="454">
        <v>1146505</v>
      </c>
    </row>
    <row r="264" spans="1:9" customFormat="1" ht="15.75" customHeight="1" x14ac:dyDescent="0.2">
      <c r="A264" s="242"/>
      <c r="B264" s="223" t="s">
        <v>1023</v>
      </c>
      <c r="C264" s="431"/>
      <c r="D264" s="431"/>
      <c r="E264" s="431"/>
      <c r="F264" s="68"/>
      <c r="G264" s="455">
        <v>2295480</v>
      </c>
      <c r="H264" s="217">
        <v>-1419873</v>
      </c>
      <c r="I264" s="454">
        <v>875607</v>
      </c>
    </row>
    <row r="265" spans="1:9" customFormat="1" ht="15.75" customHeight="1" x14ac:dyDescent="0.2">
      <c r="A265" s="242"/>
      <c r="B265" s="222" t="s">
        <v>843</v>
      </c>
      <c r="C265" s="431"/>
      <c r="D265" s="431"/>
      <c r="E265" s="12"/>
      <c r="F265" s="68"/>
      <c r="G265" s="257">
        <v>725918</v>
      </c>
      <c r="H265" s="217">
        <v>-420903</v>
      </c>
      <c r="I265" s="454">
        <v>305015</v>
      </c>
    </row>
    <row r="266" spans="1:9" customFormat="1" ht="15.75" customHeight="1" x14ac:dyDescent="0.2">
      <c r="A266" s="242"/>
      <c r="B266" s="184" t="s">
        <v>1075</v>
      </c>
      <c r="C266" s="431"/>
      <c r="D266" s="431"/>
      <c r="E266" s="12"/>
      <c r="F266" s="68"/>
      <c r="G266" s="257">
        <v>118846</v>
      </c>
      <c r="H266" s="217">
        <v>-8565</v>
      </c>
      <c r="I266" s="454">
        <v>110581</v>
      </c>
    </row>
    <row r="267" spans="1:9" customFormat="1" ht="15.75" customHeight="1" x14ac:dyDescent="0.2">
      <c r="A267" s="242"/>
      <c r="B267" s="222" t="s">
        <v>1025</v>
      </c>
      <c r="C267" s="437"/>
      <c r="D267" s="437"/>
      <c r="E267" s="437"/>
      <c r="F267" s="438"/>
      <c r="G267" s="457">
        <v>74628</v>
      </c>
      <c r="H267" s="217">
        <v>-48028</v>
      </c>
      <c r="I267" s="454">
        <v>26600</v>
      </c>
    </row>
    <row r="268" spans="1:9" customFormat="1" ht="15.75" customHeight="1" x14ac:dyDescent="0.25">
      <c r="A268" s="242"/>
      <c r="B268" s="436"/>
      <c r="C268" s="437"/>
      <c r="D268" s="437"/>
      <c r="E268" s="437"/>
      <c r="F268" s="438"/>
      <c r="G268" s="459"/>
      <c r="H268" s="460"/>
      <c r="I268" s="458"/>
    </row>
    <row r="269" spans="1:9" customFormat="1" ht="15.75" customHeight="1" thickBot="1" x14ac:dyDescent="0.25">
      <c r="A269" s="242"/>
      <c r="B269" s="184" t="s">
        <v>1274</v>
      </c>
      <c r="C269" s="45"/>
      <c r="D269" s="45"/>
      <c r="E269" s="45"/>
      <c r="F269" s="442"/>
      <c r="G269" s="461">
        <f>SUM(G263:G268)</f>
        <v>4479356</v>
      </c>
      <c r="H269" s="561">
        <f>SUM(H263:H268)</f>
        <v>-2015348</v>
      </c>
      <c r="I269" s="461">
        <f>SUM(I263:I268)</f>
        <v>2464308</v>
      </c>
    </row>
    <row r="270" spans="1:9" customFormat="1" ht="15.75" customHeight="1" thickTop="1" x14ac:dyDescent="0.2">
      <c r="A270" s="242"/>
      <c r="B270" s="441"/>
      <c r="C270" s="45"/>
      <c r="D270" s="45"/>
      <c r="E270" s="45"/>
      <c r="F270" s="442"/>
      <c r="G270" s="443"/>
      <c r="H270" s="443"/>
      <c r="I270" s="19"/>
    </row>
    <row r="271" spans="1:9" customFormat="1" ht="15.75" customHeight="1" x14ac:dyDescent="0.2">
      <c r="A271" s="242"/>
      <c r="B271" s="441"/>
      <c r="C271" s="45"/>
      <c r="D271" s="45"/>
      <c r="E271" s="45"/>
      <c r="F271" s="442"/>
      <c r="G271" s="443"/>
      <c r="H271" s="443"/>
      <c r="I271" s="19"/>
    </row>
    <row r="272" spans="1:9" ht="15.75" customHeight="1" x14ac:dyDescent="0.25">
      <c r="A272" s="237">
        <f>+A226+1</f>
        <v>17</v>
      </c>
      <c r="B272" s="231" t="s">
        <v>863</v>
      </c>
      <c r="E272" s="12"/>
      <c r="F272" s="30"/>
      <c r="H272" s="31"/>
    </row>
    <row r="273" spans="1:9" ht="15.75" customHeight="1" x14ac:dyDescent="0.2">
      <c r="B273" s="35"/>
      <c r="C273" s="11"/>
      <c r="D273" s="11"/>
      <c r="F273" s="186">
        <f>'Comprehensive Income'!$C$5</f>
        <v>2017</v>
      </c>
      <c r="G273" s="186">
        <f>'Comprehensive Income'!$D$5</f>
        <v>2017</v>
      </c>
      <c r="H273" s="186">
        <f>'Comprehensive Income'!$E$5</f>
        <v>2016</v>
      </c>
    </row>
    <row r="274" spans="1:9" ht="15.75" customHeight="1" x14ac:dyDescent="0.2">
      <c r="B274" s="35"/>
      <c r="C274" s="11"/>
      <c r="D274" s="11"/>
      <c r="F274" s="191" t="s">
        <v>814</v>
      </c>
      <c r="G274" s="187" t="s">
        <v>815</v>
      </c>
      <c r="H274" s="187" t="s">
        <v>814</v>
      </c>
      <c r="I274" s="9"/>
    </row>
    <row r="275" spans="1:9" ht="15.75" customHeight="1" x14ac:dyDescent="0.2">
      <c r="B275" s="35"/>
      <c r="C275" s="11"/>
      <c r="D275" s="11"/>
      <c r="F275" s="191"/>
      <c r="G275" s="211" t="s">
        <v>369</v>
      </c>
      <c r="H275" s="187"/>
      <c r="I275" s="9"/>
    </row>
    <row r="276" spans="1:9" ht="15.75" customHeight="1" x14ac:dyDescent="0.2">
      <c r="B276" s="106"/>
      <c r="C276" s="26"/>
      <c r="D276" s="26"/>
      <c r="F276" s="191" t="s">
        <v>813</v>
      </c>
      <c r="G276" s="187" t="s">
        <v>813</v>
      </c>
      <c r="H276" s="187" t="s">
        <v>813</v>
      </c>
    </row>
    <row r="277" spans="1:9" ht="15.75" customHeight="1" x14ac:dyDescent="0.2">
      <c r="A277" s="239"/>
      <c r="B277" s="223" t="s">
        <v>266</v>
      </c>
      <c r="F277" s="104">
        <f>+'Codes allocation'!C960+'Codes allocation'!C963-F279+3</f>
        <v>106856.44</v>
      </c>
      <c r="G277" s="68">
        <v>134003</v>
      </c>
      <c r="H277" s="104">
        <f>+'Codes allocation'!G960+'Codes allocation'!G963-H279</f>
        <v>128883.76000000001</v>
      </c>
      <c r="I277" s="9"/>
    </row>
    <row r="278" spans="1:9" ht="15.75" customHeight="1" x14ac:dyDescent="0.2">
      <c r="A278" s="239"/>
      <c r="B278" s="223" t="s">
        <v>267</v>
      </c>
      <c r="F278" s="104">
        <f>+'Codes allocation'!C962</f>
        <v>7036.88</v>
      </c>
      <c r="G278" s="68">
        <v>7556</v>
      </c>
      <c r="H278" s="104">
        <f>+'Codes allocation'!G962</f>
        <v>7145.38</v>
      </c>
      <c r="I278" s="9"/>
    </row>
    <row r="279" spans="1:9" ht="15.75" customHeight="1" x14ac:dyDescent="0.2">
      <c r="A279" s="239"/>
      <c r="B279" s="223" t="s">
        <v>268</v>
      </c>
      <c r="F279" s="104">
        <v>9997</v>
      </c>
      <c r="G279" s="68">
        <v>4399</v>
      </c>
      <c r="H279" s="104">
        <v>16747</v>
      </c>
      <c r="I279" s="9"/>
    </row>
    <row r="280" spans="1:9" ht="15.75" customHeight="1" x14ac:dyDescent="0.2">
      <c r="A280" s="239"/>
      <c r="B280" s="223" t="s">
        <v>854</v>
      </c>
      <c r="F280" s="104">
        <f>+'Codes allocation'!C964</f>
        <v>625600</v>
      </c>
      <c r="G280" s="105">
        <v>758578</v>
      </c>
      <c r="H280" s="104">
        <f>+'Codes allocation'!G964</f>
        <v>528914.47</v>
      </c>
    </row>
    <row r="281" spans="1:9" ht="15.75" customHeight="1" x14ac:dyDescent="0.2">
      <c r="A281" s="239"/>
      <c r="B281" s="223" t="s">
        <v>269</v>
      </c>
      <c r="F281" s="104">
        <f>+'Codes allocation'!C961</f>
        <v>126143.21</v>
      </c>
      <c r="G281" s="105">
        <v>80180</v>
      </c>
      <c r="H281" s="104">
        <f>+'Codes allocation'!G961</f>
        <v>100878</v>
      </c>
    </row>
    <row r="282" spans="1:9" ht="15.75" customHeight="1" x14ac:dyDescent="0.2">
      <c r="A282" s="239"/>
      <c r="F282" s="104"/>
      <c r="G282" s="105"/>
      <c r="H282" s="104"/>
    </row>
    <row r="283" spans="1:9" ht="15.75" customHeight="1" thickBot="1" x14ac:dyDescent="0.25">
      <c r="F283" s="447">
        <f>SUM(F277:F282)</f>
        <v>875633.53</v>
      </c>
      <c r="G283" s="447">
        <f>SUM(G277:G282)</f>
        <v>984716</v>
      </c>
      <c r="H283" s="447">
        <f>SUM(H277:H282)</f>
        <v>782568.61</v>
      </c>
    </row>
    <row r="284" spans="1:9" ht="15.75" customHeight="1" thickTop="1" x14ac:dyDescent="0.2">
      <c r="F284" s="105"/>
      <c r="G284" s="105"/>
      <c r="H284" s="105"/>
    </row>
    <row r="285" spans="1:9" ht="15.75" customHeight="1" x14ac:dyDescent="0.2">
      <c r="F285" s="105"/>
      <c r="G285" s="105"/>
      <c r="H285" s="105"/>
    </row>
    <row r="286" spans="1:9" ht="15.75" customHeight="1" x14ac:dyDescent="0.2">
      <c r="B286" s="223" t="s">
        <v>270</v>
      </c>
      <c r="F286" s="105">
        <f>+F277+F278+F279</f>
        <v>123890.32</v>
      </c>
      <c r="G286" s="105">
        <f>+H286</f>
        <v>152776.14000000001</v>
      </c>
      <c r="H286" s="105">
        <f>+H277+H278+H279</f>
        <v>152776.14000000001</v>
      </c>
    </row>
    <row r="287" spans="1:9" ht="15.75" customHeight="1" x14ac:dyDescent="0.2">
      <c r="B287" s="223" t="s">
        <v>271</v>
      </c>
      <c r="F287" s="105">
        <v>0</v>
      </c>
      <c r="G287" s="105">
        <f>+H287</f>
        <v>0</v>
      </c>
      <c r="H287" s="105">
        <v>0</v>
      </c>
    </row>
    <row r="288" spans="1:9" ht="15.75" customHeight="1" x14ac:dyDescent="0.2">
      <c r="B288" s="223" t="s">
        <v>272</v>
      </c>
      <c r="F288" s="105">
        <f>+F280+F281</f>
        <v>751743.21</v>
      </c>
      <c r="G288" s="105">
        <f>+H288</f>
        <v>629792.47</v>
      </c>
      <c r="H288" s="105">
        <f>+H280+H281</f>
        <v>629792.47</v>
      </c>
    </row>
    <row r="289" spans="1:13" ht="15.75" customHeight="1" x14ac:dyDescent="0.2">
      <c r="F289" s="105"/>
      <c r="G289" s="105"/>
      <c r="H289" s="105"/>
    </row>
    <row r="290" spans="1:13" ht="15.75" customHeight="1" thickBot="1" x14ac:dyDescent="0.25">
      <c r="F290" s="447">
        <f>SUM(F286:F289)</f>
        <v>875633.53</v>
      </c>
      <c r="G290" s="447">
        <f>SUM(G286:G289)</f>
        <v>782568.61</v>
      </c>
      <c r="H290" s="447">
        <f>SUM(H286:H289)</f>
        <v>782568.61</v>
      </c>
    </row>
    <row r="291" spans="1:13" ht="15.75" customHeight="1" thickTop="1" x14ac:dyDescent="0.2">
      <c r="F291" s="105"/>
      <c r="G291" s="105"/>
      <c r="H291" s="105"/>
    </row>
    <row r="292" spans="1:13" ht="15.75" customHeight="1" x14ac:dyDescent="0.2">
      <c r="F292" s="105"/>
      <c r="G292" s="105"/>
      <c r="H292" s="105"/>
    </row>
    <row r="293" spans="1:13" customFormat="1" ht="15.75" customHeight="1" x14ac:dyDescent="0.2">
      <c r="A293" s="242"/>
      <c r="B293" s="222" t="s">
        <v>1037</v>
      </c>
      <c r="C293" s="11"/>
      <c r="D293" s="11"/>
      <c r="E293" s="7"/>
      <c r="F293" s="30"/>
      <c r="G293" s="30"/>
      <c r="H293" s="30"/>
      <c r="I293" s="19"/>
      <c r="J293" s="19"/>
      <c r="K293" s="19"/>
      <c r="L293" s="19"/>
      <c r="M293" s="19"/>
    </row>
    <row r="294" spans="1:13" customFormat="1" ht="15.75" customHeight="1" x14ac:dyDescent="0.2">
      <c r="A294" s="242"/>
      <c r="B294" s="232"/>
      <c r="C294" s="8"/>
      <c r="D294" s="8"/>
      <c r="F294" s="30"/>
      <c r="G294" s="30"/>
      <c r="H294" s="30"/>
      <c r="I294" s="19"/>
      <c r="J294" s="19"/>
      <c r="K294" s="19"/>
      <c r="L294" s="19"/>
      <c r="M294" s="19"/>
    </row>
    <row r="295" spans="1:13" ht="15.75" customHeight="1" x14ac:dyDescent="0.2">
      <c r="E295" s="12"/>
      <c r="F295" s="30"/>
      <c r="G295" s="30"/>
      <c r="H295" s="31"/>
    </row>
    <row r="296" spans="1:13" ht="15.75" customHeight="1" x14ac:dyDescent="0.25">
      <c r="A296" s="237">
        <f>A272+1</f>
        <v>18</v>
      </c>
      <c r="B296" s="231" t="s">
        <v>383</v>
      </c>
      <c r="E296" s="12"/>
      <c r="F296" s="62"/>
      <c r="G296" s="30"/>
      <c r="H296" s="31"/>
    </row>
    <row r="297" spans="1:13" ht="15.75" customHeight="1" x14ac:dyDescent="0.2">
      <c r="B297" s="35"/>
      <c r="C297" s="11"/>
      <c r="D297" s="11"/>
      <c r="F297" s="186">
        <f>'Comprehensive Income'!$C$5</f>
        <v>2017</v>
      </c>
      <c r="G297" s="186">
        <f>'Comprehensive Income'!$D$5</f>
        <v>2017</v>
      </c>
      <c r="H297" s="186">
        <f>'Comprehensive Income'!$E$5</f>
        <v>2016</v>
      </c>
    </row>
    <row r="298" spans="1:13" ht="15.75" customHeight="1" x14ac:dyDescent="0.2">
      <c r="B298" s="35"/>
      <c r="C298" s="11"/>
      <c r="D298" s="11"/>
      <c r="F298" s="191" t="s">
        <v>814</v>
      </c>
      <c r="G298" s="187" t="s">
        <v>815</v>
      </c>
      <c r="H298" s="187" t="s">
        <v>814</v>
      </c>
      <c r="I298" s="9"/>
    </row>
    <row r="299" spans="1:13" ht="15.75" customHeight="1" x14ac:dyDescent="0.2">
      <c r="B299" s="35"/>
      <c r="C299" s="11"/>
      <c r="D299" s="11"/>
      <c r="F299" s="191"/>
      <c r="G299" s="211" t="s">
        <v>369</v>
      </c>
      <c r="H299" s="187"/>
      <c r="I299" s="9"/>
    </row>
    <row r="300" spans="1:13" ht="15.75" customHeight="1" x14ac:dyDescent="0.2">
      <c r="B300" s="35"/>
      <c r="C300" s="11"/>
      <c r="D300" s="11"/>
      <c r="F300" s="191" t="s">
        <v>813</v>
      </c>
      <c r="G300" s="187" t="s">
        <v>813</v>
      </c>
      <c r="H300" s="187" t="s">
        <v>813</v>
      </c>
      <c r="I300" s="9"/>
      <c r="J300" s="36"/>
    </row>
    <row r="301" spans="1:13" ht="15.75" customHeight="1" x14ac:dyDescent="0.2">
      <c r="B301" s="184" t="s">
        <v>923</v>
      </c>
      <c r="C301" s="11"/>
      <c r="F301" s="104">
        <f>+'Codes allocation'!C966</f>
        <v>96.55</v>
      </c>
      <c r="G301" s="105">
        <f>+H301</f>
        <v>96.55</v>
      </c>
      <c r="H301" s="104">
        <f>+'Codes allocation'!G966</f>
        <v>96.55</v>
      </c>
      <c r="J301" s="178"/>
      <c r="K301" s="11"/>
    </row>
    <row r="302" spans="1:13" ht="15.75" customHeight="1" x14ac:dyDescent="0.2">
      <c r="B302" s="222" t="s">
        <v>867</v>
      </c>
      <c r="C302" s="11"/>
      <c r="F302" s="104">
        <f>+'Codes allocation'!D982</f>
        <v>30769.38</v>
      </c>
      <c r="G302" s="105">
        <v>62495</v>
      </c>
      <c r="H302" s="104">
        <f>+'Codes allocation'!H982</f>
        <v>25319.899999999998</v>
      </c>
      <c r="J302" s="533"/>
      <c r="K302" s="11"/>
    </row>
    <row r="303" spans="1:13" ht="15.75" customHeight="1" thickBot="1" x14ac:dyDescent="0.25">
      <c r="F303" s="447">
        <f>SUM(F301:F302)</f>
        <v>30865.93</v>
      </c>
      <c r="G303" s="447">
        <f>SUM(G301:G302)</f>
        <v>62591.55</v>
      </c>
      <c r="H303" s="447">
        <f>SUM(H301:H302)</f>
        <v>25416.449999999997</v>
      </c>
      <c r="J303" s="178"/>
      <c r="K303" s="11"/>
    </row>
    <row r="304" spans="1:13" ht="15.75" customHeight="1" thickTop="1" x14ac:dyDescent="0.2">
      <c r="F304" s="105"/>
      <c r="G304" s="104"/>
      <c r="H304" s="105"/>
    </row>
    <row r="305" spans="1:8" ht="15.75" customHeight="1" x14ac:dyDescent="0.25">
      <c r="A305" s="237">
        <f>+A296+1</f>
        <v>19</v>
      </c>
      <c r="B305" s="231" t="s">
        <v>476</v>
      </c>
      <c r="F305" s="186">
        <f>'Comprehensive Income'!$C$5</f>
        <v>2017</v>
      </c>
      <c r="G305" s="186">
        <f>'Comprehensive Income'!$D$5</f>
        <v>2017</v>
      </c>
      <c r="H305" s="186">
        <f>'Comprehensive Income'!$E$5</f>
        <v>2016</v>
      </c>
    </row>
    <row r="306" spans="1:8" ht="15.75" customHeight="1" x14ac:dyDescent="0.2">
      <c r="F306" s="191" t="s">
        <v>814</v>
      </c>
      <c r="G306" s="187" t="s">
        <v>815</v>
      </c>
      <c r="H306" s="187" t="s">
        <v>814</v>
      </c>
    </row>
    <row r="307" spans="1:8" ht="15.75" customHeight="1" x14ac:dyDescent="0.2">
      <c r="F307" s="191"/>
      <c r="G307" s="211" t="s">
        <v>369</v>
      </c>
      <c r="H307" s="187"/>
    </row>
    <row r="308" spans="1:8" ht="15.75" customHeight="1" x14ac:dyDescent="0.2">
      <c r="F308" s="191" t="s">
        <v>813</v>
      </c>
      <c r="G308" s="187" t="s">
        <v>813</v>
      </c>
      <c r="H308" s="187" t="s">
        <v>813</v>
      </c>
    </row>
    <row r="309" spans="1:8" ht="15.75" customHeight="1" x14ac:dyDescent="0.2">
      <c r="B309" s="223" t="s">
        <v>762</v>
      </c>
      <c r="F309" s="105">
        <f>+H313</f>
        <v>98311</v>
      </c>
      <c r="G309" s="104">
        <f>+H313</f>
        <v>98311</v>
      </c>
      <c r="H309" s="105">
        <v>82500</v>
      </c>
    </row>
    <row r="310" spans="1:8" ht="15.75" customHeight="1" x14ac:dyDescent="0.2">
      <c r="B310" s="223" t="s">
        <v>763</v>
      </c>
      <c r="F310" s="105">
        <f>F317-F309</f>
        <v>22811</v>
      </c>
      <c r="G310" s="104"/>
      <c r="H310" s="105">
        <v>15811</v>
      </c>
    </row>
    <row r="311" spans="1:8" ht="15.75" customHeight="1" x14ac:dyDescent="0.2">
      <c r="B311" s="223" t="s">
        <v>273</v>
      </c>
      <c r="F311" s="105">
        <v>0</v>
      </c>
      <c r="G311" s="104">
        <v>0</v>
      </c>
      <c r="H311" s="105">
        <v>0</v>
      </c>
    </row>
    <row r="312" spans="1:8" ht="15.75" customHeight="1" x14ac:dyDescent="0.2">
      <c r="B312" s="223" t="s">
        <v>764</v>
      </c>
      <c r="F312" s="105">
        <v>0</v>
      </c>
      <c r="G312" s="104">
        <v>0</v>
      </c>
      <c r="H312" s="105">
        <v>0</v>
      </c>
    </row>
    <row r="313" spans="1:8" ht="15.75" customHeight="1" thickBot="1" x14ac:dyDescent="0.25">
      <c r="B313" s="223" t="s">
        <v>765</v>
      </c>
      <c r="F313" s="447">
        <f>SUM(F309:F312)</f>
        <v>121122</v>
      </c>
      <c r="G313" s="447">
        <f>+G309+G310+G312</f>
        <v>98311</v>
      </c>
      <c r="H313" s="447">
        <f>+H309+H310+H312</f>
        <v>98311</v>
      </c>
    </row>
    <row r="314" spans="1:8" ht="15.75" customHeight="1" thickTop="1" x14ac:dyDescent="0.2">
      <c r="F314" s="105"/>
      <c r="G314" s="104"/>
      <c r="H314" s="105"/>
    </row>
    <row r="315" spans="1:8" ht="15.75" customHeight="1" x14ac:dyDescent="0.2">
      <c r="F315" s="105"/>
      <c r="G315" s="104"/>
      <c r="H315" s="105"/>
    </row>
    <row r="316" spans="1:8" ht="15.75" customHeight="1" x14ac:dyDescent="0.2">
      <c r="B316" s="223" t="s">
        <v>274</v>
      </c>
      <c r="F316" s="105">
        <v>0</v>
      </c>
      <c r="G316" s="104">
        <f>+H316</f>
        <v>0</v>
      </c>
      <c r="H316" s="105">
        <v>0</v>
      </c>
    </row>
    <row r="317" spans="1:8" ht="15.75" customHeight="1" x14ac:dyDescent="0.2">
      <c r="B317" s="223" t="s">
        <v>275</v>
      </c>
      <c r="F317" s="105">
        <f>+'Codes allocation'!C985</f>
        <v>121122</v>
      </c>
      <c r="G317" s="104">
        <f>+G313</f>
        <v>98311</v>
      </c>
      <c r="H317" s="105">
        <f>+H313</f>
        <v>98311</v>
      </c>
    </row>
    <row r="318" spans="1:8" ht="15.75" customHeight="1" thickBot="1" x14ac:dyDescent="0.25">
      <c r="F318" s="447">
        <f>+F316+F317</f>
        <v>121122</v>
      </c>
      <c r="G318" s="447">
        <f>+G316+G317</f>
        <v>98311</v>
      </c>
      <c r="H318" s="447">
        <f>SUM(H316:H317)</f>
        <v>98311</v>
      </c>
    </row>
    <row r="319" spans="1:8" ht="15.75" customHeight="1" thickTop="1" x14ac:dyDescent="0.2">
      <c r="F319" s="105"/>
      <c r="G319" s="104"/>
      <c r="H319" s="105"/>
    </row>
    <row r="320" spans="1:8" ht="72.75" customHeight="1" x14ac:dyDescent="0.2">
      <c r="B320" s="612" t="s">
        <v>1351</v>
      </c>
      <c r="C320" s="618"/>
      <c r="D320" s="618"/>
      <c r="E320" s="618"/>
      <c r="F320" s="618"/>
      <c r="G320" s="618"/>
      <c r="H320" s="618"/>
    </row>
    <row r="321" spans="1:8" ht="15.75" customHeight="1" x14ac:dyDescent="0.2">
      <c r="F321" s="105"/>
      <c r="G321" s="104"/>
      <c r="H321" s="105"/>
    </row>
    <row r="322" spans="1:8" ht="15.75" customHeight="1" x14ac:dyDescent="0.25">
      <c r="A322" s="237">
        <f>+A305+1</f>
        <v>20</v>
      </c>
      <c r="B322" s="231" t="s">
        <v>1253</v>
      </c>
      <c r="F322" s="186"/>
      <c r="G322" s="186"/>
      <c r="H322" s="186"/>
    </row>
    <row r="323" spans="1:8" ht="15.75" customHeight="1" x14ac:dyDescent="0.2">
      <c r="A323" s="237"/>
      <c r="B323" s="621" t="s">
        <v>1249</v>
      </c>
      <c r="C323" s="621"/>
      <c r="D323" s="621"/>
      <c r="E323" s="621"/>
      <c r="F323" s="621"/>
      <c r="G323" s="621"/>
      <c r="H323" s="621"/>
    </row>
    <row r="324" spans="1:8" ht="15.75" customHeight="1" x14ac:dyDescent="0.2">
      <c r="A324" s="237"/>
      <c r="B324" s="621"/>
      <c r="C324" s="621"/>
      <c r="D324" s="621"/>
      <c r="E324" s="621"/>
      <c r="F324" s="621"/>
      <c r="G324" s="621"/>
      <c r="H324" s="621"/>
    </row>
    <row r="325" spans="1:8" ht="15.75" customHeight="1" x14ac:dyDescent="0.2">
      <c r="A325" s="237"/>
      <c r="B325" s="495"/>
      <c r="C325" s="495"/>
      <c r="D325" s="495"/>
      <c r="E325" s="495"/>
      <c r="F325" s="495"/>
      <c r="G325" s="495"/>
      <c r="H325" s="495"/>
    </row>
    <row r="326" spans="1:8" ht="15.75" customHeight="1" x14ac:dyDescent="0.2">
      <c r="A326" s="237"/>
      <c r="B326" s="495"/>
      <c r="C326" s="495"/>
      <c r="D326" s="495"/>
      <c r="E326" s="495"/>
      <c r="F326" s="186">
        <f>'Comprehensive Income'!$C$5</f>
        <v>2017</v>
      </c>
      <c r="G326" s="186">
        <f>'Comprehensive Income'!$D$5</f>
        <v>2017</v>
      </c>
      <c r="H326" s="186">
        <f>'Comprehensive Income'!$E$5</f>
        <v>2016</v>
      </c>
    </row>
    <row r="327" spans="1:8" ht="15.75" customHeight="1" x14ac:dyDescent="0.2">
      <c r="F327" s="191" t="s">
        <v>814</v>
      </c>
      <c r="G327" s="187" t="s">
        <v>815</v>
      </c>
      <c r="H327" s="187" t="s">
        <v>814</v>
      </c>
    </row>
    <row r="328" spans="1:8" ht="15.75" customHeight="1" x14ac:dyDescent="0.2">
      <c r="F328" s="191"/>
      <c r="G328" s="211" t="s">
        <v>369</v>
      </c>
      <c r="H328" s="187"/>
    </row>
    <row r="329" spans="1:8" ht="15.75" customHeight="1" x14ac:dyDescent="0.2">
      <c r="F329" s="191" t="s">
        <v>813</v>
      </c>
      <c r="G329" s="187" t="s">
        <v>813</v>
      </c>
      <c r="H329" s="187" t="s">
        <v>813</v>
      </c>
    </row>
    <row r="330" spans="1:8" ht="15.75" customHeight="1" x14ac:dyDescent="0.2">
      <c r="B330" s="497" t="s">
        <v>1250</v>
      </c>
      <c r="C330" s="497"/>
      <c r="D330" s="496"/>
      <c r="E330" s="496"/>
      <c r="F330" s="499">
        <f>(ESLData!E917+ESLData!E918+ESLData!E919+ESLData!E907)*-1</f>
        <v>37762.78</v>
      </c>
      <c r="G330" s="499">
        <v>0</v>
      </c>
      <c r="H330" s="499">
        <v>33451</v>
      </c>
    </row>
    <row r="331" spans="1:8" ht="15.75" customHeight="1" x14ac:dyDescent="0.2">
      <c r="B331" s="497" t="s">
        <v>1251</v>
      </c>
      <c r="C331" s="497"/>
      <c r="D331" s="496"/>
      <c r="E331" s="496"/>
      <c r="F331" s="499">
        <f>SUM(ESLData!E926,ESLData!E927,ESLData!E928)*-1</f>
        <v>79943.83</v>
      </c>
      <c r="G331" s="499">
        <v>0</v>
      </c>
      <c r="H331" s="499">
        <v>75081</v>
      </c>
    </row>
    <row r="332" spans="1:8" ht="15.75" customHeight="1" x14ac:dyDescent="0.2">
      <c r="B332" s="497" t="s">
        <v>1252</v>
      </c>
      <c r="C332" s="497"/>
      <c r="D332" s="496"/>
      <c r="E332" s="496"/>
      <c r="F332" s="499">
        <v>0</v>
      </c>
      <c r="G332" s="499">
        <v>0</v>
      </c>
      <c r="H332" s="499">
        <v>0</v>
      </c>
    </row>
    <row r="333" spans="1:8" ht="15.75" customHeight="1" x14ac:dyDescent="0.2">
      <c r="B333" s="497"/>
      <c r="C333" s="497"/>
      <c r="D333" s="496"/>
      <c r="E333" s="496"/>
      <c r="F333" s="499"/>
      <c r="G333" s="499"/>
      <c r="H333" s="499"/>
    </row>
    <row r="334" spans="1:8" ht="15.75" customHeight="1" thickBot="1" x14ac:dyDescent="0.25">
      <c r="B334" s="497"/>
      <c r="C334" s="497"/>
      <c r="D334" s="496"/>
      <c r="E334" s="496"/>
      <c r="F334" s="500">
        <f>SUM(F330:F333)</f>
        <v>117706.61</v>
      </c>
      <c r="G334" s="500">
        <f t="shared" ref="G334:H334" si="5">SUM(G330:G333)</f>
        <v>0</v>
      </c>
      <c r="H334" s="500">
        <f t="shared" si="5"/>
        <v>108532</v>
      </c>
    </row>
    <row r="335" spans="1:8" ht="15.75" customHeight="1" thickTop="1" x14ac:dyDescent="0.2">
      <c r="B335" s="497"/>
      <c r="C335" s="497"/>
      <c r="D335" s="496"/>
      <c r="E335" s="496"/>
      <c r="F335" s="517"/>
      <c r="G335" s="517"/>
      <c r="H335" s="517"/>
    </row>
    <row r="336" spans="1:8" ht="15.75" customHeight="1" x14ac:dyDescent="0.2">
      <c r="F336" s="105"/>
      <c r="G336" s="104"/>
      <c r="H336" s="105"/>
    </row>
    <row r="337" spans="1:15" ht="15.75" customHeight="1" x14ac:dyDescent="0.25">
      <c r="A337" s="237">
        <f>+A322+1</f>
        <v>21</v>
      </c>
      <c r="B337" s="231" t="s">
        <v>1265</v>
      </c>
      <c r="F337" s="105"/>
      <c r="G337" s="104"/>
      <c r="H337" s="105"/>
    </row>
    <row r="338" spans="1:15" ht="15.75" customHeight="1" x14ac:dyDescent="0.25">
      <c r="A338" s="237"/>
      <c r="B338" s="231"/>
      <c r="F338" s="105"/>
      <c r="G338" s="104"/>
      <c r="H338" s="105"/>
    </row>
    <row r="339" spans="1:15" ht="15.75" customHeight="1" x14ac:dyDescent="0.2">
      <c r="B339" s="622" t="s">
        <v>1352</v>
      </c>
      <c r="C339" s="622"/>
      <c r="D339" s="622"/>
      <c r="E339" s="622"/>
      <c r="F339" s="622"/>
      <c r="G339" s="622"/>
      <c r="H339" s="622"/>
    </row>
    <row r="340" spans="1:15" ht="15.75" customHeight="1" x14ac:dyDescent="0.2">
      <c r="B340" s="501"/>
      <c r="C340" s="497"/>
      <c r="D340" s="501"/>
      <c r="E340" s="501"/>
      <c r="F340" s="501"/>
      <c r="G340" s="501"/>
      <c r="H340" s="497"/>
    </row>
    <row r="341" spans="1:15" ht="15.75" hidden="1" customHeight="1" x14ac:dyDescent="0.2">
      <c r="B341" s="502"/>
      <c r="C341" s="497"/>
      <c r="D341" s="503"/>
      <c r="E341" s="504"/>
      <c r="F341" s="504"/>
      <c r="G341" s="623" t="s">
        <v>1254</v>
      </c>
      <c r="H341" s="503"/>
    </row>
    <row r="342" spans="1:15" ht="15.75" hidden="1" customHeight="1" x14ac:dyDescent="0.2">
      <c r="B342" s="505"/>
      <c r="C342" s="498"/>
      <c r="D342" s="507"/>
      <c r="E342" s="507"/>
      <c r="F342" s="507"/>
      <c r="G342" s="623"/>
      <c r="H342" s="507"/>
    </row>
    <row r="343" spans="1:15" ht="15.75" hidden="1" customHeight="1" x14ac:dyDescent="0.2">
      <c r="B343" s="505"/>
      <c r="C343" s="498"/>
      <c r="D343" s="507" t="s">
        <v>1255</v>
      </c>
      <c r="E343" s="507" t="s">
        <v>1256</v>
      </c>
      <c r="F343" s="507"/>
      <c r="G343" s="623"/>
      <c r="H343" s="507" t="s">
        <v>1257</v>
      </c>
    </row>
    <row r="344" spans="1:15" ht="15.75" hidden="1" customHeight="1" x14ac:dyDescent="0.2">
      <c r="B344" s="505"/>
      <c r="C344" s="498">
        <v>2017</v>
      </c>
      <c r="D344" s="507" t="s">
        <v>1258</v>
      </c>
      <c r="E344" s="537" t="s">
        <v>1259</v>
      </c>
      <c r="F344" s="507" t="s">
        <v>1260</v>
      </c>
      <c r="G344" s="623"/>
      <c r="H344" s="507" t="s">
        <v>1258</v>
      </c>
    </row>
    <row r="345" spans="1:15" ht="15.75" hidden="1" customHeight="1" x14ac:dyDescent="0.2">
      <c r="B345" s="505"/>
      <c r="C345" s="509"/>
      <c r="D345" s="537" t="s">
        <v>813</v>
      </c>
      <c r="E345" s="537" t="s">
        <v>813</v>
      </c>
      <c r="F345" s="537" t="s">
        <v>813</v>
      </c>
      <c r="G345" s="537"/>
      <c r="H345" s="537" t="s">
        <v>813</v>
      </c>
      <c r="O345" s="8" t="s">
        <v>1055</v>
      </c>
    </row>
    <row r="346" spans="1:15" ht="15.75" hidden="1" customHeight="1" x14ac:dyDescent="0.2">
      <c r="B346" s="502" t="s">
        <v>1266</v>
      </c>
      <c r="C346" s="510" t="s">
        <v>1343</v>
      </c>
      <c r="D346" s="511">
        <v>0</v>
      </c>
      <c r="E346" s="103">
        <v>25256.43</v>
      </c>
      <c r="F346" s="103">
        <v>25256.43</v>
      </c>
      <c r="G346" s="103">
        <v>0</v>
      </c>
      <c r="H346" s="512">
        <f>E346-F346</f>
        <v>0</v>
      </c>
    </row>
    <row r="347" spans="1:15" ht="15.75" hidden="1" customHeight="1" x14ac:dyDescent="0.2">
      <c r="B347" s="502"/>
      <c r="C347" s="510"/>
      <c r="D347" s="511"/>
      <c r="E347" s="103"/>
      <c r="F347" s="103"/>
      <c r="G347" s="103"/>
      <c r="H347" s="512"/>
    </row>
    <row r="348" spans="1:15" ht="15.75" hidden="1" customHeight="1" thickBot="1" x14ac:dyDescent="0.25">
      <c r="B348" s="502" t="s">
        <v>1261</v>
      </c>
      <c r="C348" s="513"/>
      <c r="D348" s="514">
        <f>SUM(D346:D347)</f>
        <v>0</v>
      </c>
      <c r="E348" s="514">
        <f>SUM(E346:E347)</f>
        <v>25256.43</v>
      </c>
      <c r="F348" s="514">
        <f>SUM(F346:F347)</f>
        <v>25256.43</v>
      </c>
      <c r="G348" s="514">
        <f>SUM(G346:G347)</f>
        <v>0</v>
      </c>
      <c r="H348" s="514">
        <f>SUM(H346:H347)</f>
        <v>0</v>
      </c>
    </row>
    <row r="349" spans="1:15" ht="15.75" customHeight="1" x14ac:dyDescent="0.2">
      <c r="B349" s="505"/>
      <c r="C349" s="498"/>
      <c r="D349" s="506"/>
      <c r="E349" s="506"/>
      <c r="F349" s="507"/>
      <c r="G349" s="623" t="s">
        <v>1254</v>
      </c>
      <c r="H349" s="497"/>
    </row>
    <row r="350" spans="1:15" ht="15.75" customHeight="1" x14ac:dyDescent="0.2">
      <c r="B350" s="505"/>
      <c r="C350" s="498"/>
      <c r="D350" s="507"/>
      <c r="E350" s="507"/>
      <c r="F350" s="507"/>
      <c r="G350" s="623"/>
      <c r="H350" s="507"/>
    </row>
    <row r="351" spans="1:15" ht="15.75" customHeight="1" x14ac:dyDescent="0.2">
      <c r="B351" s="505"/>
      <c r="C351" s="498"/>
      <c r="D351" s="507" t="s">
        <v>1255</v>
      </c>
      <c r="E351" s="507" t="s">
        <v>1256</v>
      </c>
      <c r="F351" s="507"/>
      <c r="G351" s="623"/>
      <c r="H351" s="507" t="s">
        <v>1257</v>
      </c>
    </row>
    <row r="352" spans="1:15" ht="15.75" customHeight="1" x14ac:dyDescent="0.2">
      <c r="B352" s="505"/>
      <c r="C352" s="498">
        <f>FY</f>
        <v>2016</v>
      </c>
      <c r="D352" s="507" t="s">
        <v>1258</v>
      </c>
      <c r="E352" s="508" t="s">
        <v>1259</v>
      </c>
      <c r="F352" s="507" t="s">
        <v>1260</v>
      </c>
      <c r="G352" s="623"/>
      <c r="H352" s="507" t="s">
        <v>1258</v>
      </c>
    </row>
    <row r="353" spans="1:10" ht="15.75" customHeight="1" x14ac:dyDescent="0.2">
      <c r="B353" s="505"/>
      <c r="C353" s="509"/>
      <c r="D353" s="508" t="s">
        <v>813</v>
      </c>
      <c r="E353" s="508" t="s">
        <v>813</v>
      </c>
      <c r="F353" s="508" t="s">
        <v>813</v>
      </c>
      <c r="G353" s="508"/>
      <c r="H353" s="508" t="s">
        <v>813</v>
      </c>
    </row>
    <row r="354" spans="1:10" ht="15.75" customHeight="1" x14ac:dyDescent="0.2">
      <c r="B354" s="502" t="s">
        <v>1266</v>
      </c>
      <c r="C354" s="510" t="s">
        <v>1353</v>
      </c>
      <c r="D354" s="511">
        <v>0</v>
      </c>
      <c r="E354" s="103">
        <v>25256.43</v>
      </c>
      <c r="F354" s="103">
        <v>25256.43</v>
      </c>
      <c r="G354" s="103">
        <v>0</v>
      </c>
      <c r="H354" s="512">
        <f>E354-F354</f>
        <v>0</v>
      </c>
    </row>
    <row r="355" spans="1:10" ht="15.75" customHeight="1" x14ac:dyDescent="0.2">
      <c r="B355" s="502"/>
      <c r="C355" s="510"/>
      <c r="D355" s="511"/>
      <c r="E355" s="103"/>
      <c r="F355" s="103"/>
      <c r="G355" s="103"/>
      <c r="H355" s="512"/>
    </row>
    <row r="356" spans="1:10" ht="15.75" customHeight="1" thickBot="1" x14ac:dyDescent="0.25">
      <c r="B356" s="502" t="s">
        <v>1261</v>
      </c>
      <c r="C356" s="513"/>
      <c r="D356" s="514">
        <f>SUM(D354:D355)</f>
        <v>0</v>
      </c>
      <c r="E356" s="514">
        <f>SUM(E354:E355)</f>
        <v>25256.43</v>
      </c>
      <c r="F356" s="514">
        <f>SUM(F354:F355)</f>
        <v>25256.43</v>
      </c>
      <c r="G356" s="514">
        <f>SUM(G354:G355)</f>
        <v>0</v>
      </c>
      <c r="H356" s="514">
        <f>SUM(H354:H355)</f>
        <v>0</v>
      </c>
    </row>
    <row r="357" spans="1:10" ht="15.75" customHeight="1" thickTop="1" x14ac:dyDescent="0.2">
      <c r="B357" s="502"/>
      <c r="C357" s="497"/>
      <c r="D357" s="503"/>
      <c r="E357" s="515"/>
      <c r="F357" s="515"/>
      <c r="G357" s="515"/>
      <c r="H357" s="511"/>
    </row>
    <row r="358" spans="1:10" ht="15.75" customHeight="1" x14ac:dyDescent="0.2">
      <c r="B358" s="556" t="s">
        <v>1262</v>
      </c>
      <c r="C358" s="497"/>
      <c r="D358" s="503"/>
      <c r="E358" s="515"/>
      <c r="F358" s="515"/>
      <c r="G358" s="515"/>
      <c r="H358" s="516"/>
    </row>
    <row r="359" spans="1:10" ht="15.75" customHeight="1" x14ac:dyDescent="0.2">
      <c r="B359" s="502" t="s">
        <v>1263</v>
      </c>
      <c r="C359" s="497"/>
      <c r="D359" s="503"/>
      <c r="E359" s="515"/>
      <c r="F359" s="515"/>
      <c r="G359" s="515"/>
      <c r="H359" s="103">
        <v>0</v>
      </c>
    </row>
    <row r="360" spans="1:10" ht="15.75" customHeight="1" x14ac:dyDescent="0.2">
      <c r="B360" s="502" t="s">
        <v>1264</v>
      </c>
      <c r="C360" s="497"/>
      <c r="D360" s="503"/>
      <c r="E360" s="515"/>
      <c r="F360" s="515"/>
      <c r="G360" s="515"/>
      <c r="H360" s="499">
        <v>0</v>
      </c>
    </row>
    <row r="361" spans="1:10" ht="15.75" hidden="1" customHeight="1" x14ac:dyDescent="0.2">
      <c r="B361" s="502"/>
      <c r="C361" s="497"/>
      <c r="D361" s="503"/>
      <c r="E361" s="515"/>
      <c r="F361" s="515"/>
      <c r="G361" s="515"/>
      <c r="H361" s="513"/>
    </row>
    <row r="362" spans="1:10" ht="15.75" customHeight="1" thickBot="1" x14ac:dyDescent="0.25">
      <c r="B362" s="502"/>
      <c r="C362" s="497"/>
      <c r="D362" s="503"/>
      <c r="E362" s="515"/>
      <c r="F362" s="515"/>
      <c r="G362" s="515"/>
      <c r="H362" s="514">
        <f>H359-H360</f>
        <v>0</v>
      </c>
    </row>
    <row r="363" spans="1:10" ht="15.75" customHeight="1" thickTop="1" x14ac:dyDescent="0.2">
      <c r="B363" s="502"/>
      <c r="C363" s="497"/>
      <c r="D363" s="503"/>
      <c r="E363" s="515"/>
      <c r="F363" s="515"/>
      <c r="G363" s="515"/>
      <c r="H363" s="515"/>
    </row>
    <row r="364" spans="1:10" s="40" customFormat="1" ht="15.75" customHeight="1" x14ac:dyDescent="0.2">
      <c r="A364" s="237">
        <f>+A337+1</f>
        <v>22</v>
      </c>
      <c r="B364" s="227" t="s">
        <v>873</v>
      </c>
      <c r="C364" s="16"/>
      <c r="D364" s="26"/>
      <c r="E364" s="26"/>
      <c r="F364" s="189"/>
      <c r="G364" s="210"/>
      <c r="H364" s="210"/>
    </row>
    <row r="365" spans="1:10" s="40" customFormat="1" ht="15.75" customHeight="1" x14ac:dyDescent="0.2">
      <c r="A365" s="237"/>
      <c r="B365" s="106"/>
      <c r="C365" s="16"/>
      <c r="D365" s="26"/>
      <c r="E365" s="26"/>
      <c r="F365" s="189"/>
      <c r="G365" s="210"/>
      <c r="H365" s="210"/>
    </row>
    <row r="366" spans="1:10" s="40" customFormat="1" ht="34.5" customHeight="1" x14ac:dyDescent="0.2">
      <c r="A366" s="237"/>
      <c r="B366" s="612" t="s">
        <v>1331</v>
      </c>
      <c r="C366" s="612"/>
      <c r="D366" s="612"/>
      <c r="E366" s="612"/>
      <c r="F366" s="612"/>
      <c r="G366" s="612"/>
      <c r="H366" s="612"/>
      <c r="J366" s="69" t="s">
        <v>1275</v>
      </c>
    </row>
    <row r="367" spans="1:10" s="40" customFormat="1" ht="34.5" customHeight="1" x14ac:dyDescent="0.2">
      <c r="A367" s="237"/>
      <c r="B367" s="612" t="s">
        <v>1332</v>
      </c>
      <c r="C367" s="612"/>
      <c r="D367" s="612"/>
      <c r="E367" s="612"/>
      <c r="F367" s="612"/>
      <c r="G367" s="612"/>
      <c r="H367" s="612"/>
      <c r="J367" s="69" t="s">
        <v>1276</v>
      </c>
    </row>
    <row r="368" spans="1:10" s="40" customFormat="1" ht="66.75" customHeight="1" x14ac:dyDescent="0.2">
      <c r="A368" s="237"/>
      <c r="B368" s="613" t="s">
        <v>281</v>
      </c>
      <c r="C368" s="613"/>
      <c r="D368" s="613"/>
      <c r="E368" s="613"/>
      <c r="F368" s="613"/>
      <c r="G368" s="613"/>
      <c r="H368" s="613"/>
      <c r="I368" s="613"/>
    </row>
    <row r="369" spans="1:9" s="40" customFormat="1" ht="15.75" customHeight="1" x14ac:dyDescent="0.2">
      <c r="A369" s="237"/>
      <c r="B369" s="227"/>
      <c r="C369" s="16"/>
      <c r="D369" s="26"/>
      <c r="E369" s="26"/>
      <c r="F369" s="189"/>
      <c r="G369" s="210"/>
      <c r="H369" s="210"/>
    </row>
    <row r="370" spans="1:9" s="40" customFormat="1" ht="80.25" customHeight="1" x14ac:dyDescent="0.2">
      <c r="A370" s="237"/>
      <c r="B370" s="612" t="s">
        <v>276</v>
      </c>
      <c r="C370" s="612"/>
      <c r="D370" s="612"/>
      <c r="E370" s="612"/>
      <c r="F370" s="612"/>
      <c r="G370" s="612"/>
      <c r="H370" s="612"/>
    </row>
    <row r="371" spans="1:9" s="40" customFormat="1" ht="15.75" customHeight="1" x14ac:dyDescent="0.2">
      <c r="A371" s="237"/>
      <c r="B371" s="227"/>
      <c r="C371" s="16"/>
      <c r="D371" s="26"/>
      <c r="E371" s="26"/>
      <c r="F371" s="189"/>
      <c r="G371" s="210"/>
      <c r="H371" s="210"/>
    </row>
    <row r="372" spans="1:9" s="26" customFormat="1" ht="15.75" customHeight="1" x14ac:dyDescent="0.2">
      <c r="A372" s="238"/>
      <c r="B372" s="491"/>
      <c r="C372" s="90"/>
      <c r="D372" s="90"/>
      <c r="E372" s="90"/>
      <c r="F372" s="200"/>
      <c r="G372" s="200"/>
      <c r="H372" s="200"/>
      <c r="I372" s="91"/>
    </row>
    <row r="373" spans="1:9" ht="15.75" customHeight="1" x14ac:dyDescent="0.2">
      <c r="B373" s="288"/>
      <c r="C373" s="29"/>
      <c r="D373" s="29"/>
      <c r="E373" s="29"/>
      <c r="F373" s="195"/>
      <c r="G373" s="195"/>
      <c r="H373" s="195"/>
    </row>
    <row r="374" spans="1:9" ht="15.75" customHeight="1" x14ac:dyDescent="0.2">
      <c r="A374" s="237">
        <f>A364+1</f>
        <v>23</v>
      </c>
      <c r="B374" s="227" t="s">
        <v>874</v>
      </c>
      <c r="C374" s="16"/>
      <c r="D374" s="16"/>
      <c r="E374" s="16"/>
      <c r="F374" s="194"/>
      <c r="G374" s="185"/>
      <c r="H374" s="218"/>
    </row>
    <row r="375" spans="1:9" ht="15.75" customHeight="1" x14ac:dyDescent="0.2">
      <c r="B375" s="227"/>
      <c r="C375" s="16"/>
      <c r="D375" s="16"/>
      <c r="E375" s="16"/>
      <c r="F375" s="194"/>
      <c r="G375" s="185"/>
      <c r="H375" s="31"/>
    </row>
    <row r="376" spans="1:9" ht="15.75" customHeight="1" x14ac:dyDescent="0.2">
      <c r="B376" s="448" t="s">
        <v>277</v>
      </c>
      <c r="C376" s="16"/>
      <c r="D376" s="16"/>
      <c r="E376" s="16"/>
      <c r="F376" s="194"/>
      <c r="G376" s="185"/>
      <c r="H376" s="31"/>
    </row>
    <row r="377" spans="1:9" ht="15.75" customHeight="1" x14ac:dyDescent="0.2">
      <c r="B377" s="227"/>
      <c r="C377" s="16"/>
      <c r="D377" s="16"/>
      <c r="E377" s="16"/>
      <c r="F377" s="194"/>
      <c r="G377" s="185"/>
      <c r="H377" s="31"/>
    </row>
    <row r="378" spans="1:9" ht="15.75" customHeight="1" x14ac:dyDescent="0.2">
      <c r="B378" s="614" t="s">
        <v>1267</v>
      </c>
      <c r="C378" s="615"/>
      <c r="D378" s="615"/>
      <c r="E378" s="615"/>
      <c r="F378" s="615"/>
      <c r="G378" s="615"/>
      <c r="H378" s="31"/>
    </row>
    <row r="379" spans="1:9" ht="15.75" customHeight="1" x14ac:dyDescent="0.2">
      <c r="B379" s="615"/>
      <c r="C379" s="615"/>
      <c r="D379" s="615"/>
      <c r="E379" s="615"/>
      <c r="F379" s="615"/>
      <c r="G379" s="615"/>
      <c r="H379" s="31"/>
    </row>
    <row r="380" spans="1:9" ht="15.75" customHeight="1" x14ac:dyDescent="0.2">
      <c r="B380" s="227"/>
      <c r="C380" s="16"/>
      <c r="D380" s="16"/>
      <c r="E380" s="16"/>
      <c r="F380" s="186">
        <f>'Comprehensive Income'!$C$5</f>
        <v>2017</v>
      </c>
      <c r="G380" s="186">
        <f>'Comprehensive Income'!$E$5</f>
        <v>2016</v>
      </c>
      <c r="H380" s="31"/>
    </row>
    <row r="381" spans="1:9" ht="15.75" customHeight="1" x14ac:dyDescent="0.2">
      <c r="B381" s="227"/>
      <c r="C381" s="16"/>
      <c r="D381" s="16"/>
      <c r="E381" s="16"/>
      <c r="F381" s="191" t="s">
        <v>814</v>
      </c>
      <c r="G381" s="187" t="s">
        <v>814</v>
      </c>
      <c r="H381" s="31"/>
    </row>
    <row r="382" spans="1:9" ht="15.75" customHeight="1" x14ac:dyDescent="0.2">
      <c r="B382" s="227"/>
      <c r="C382" s="16"/>
      <c r="D382" s="16"/>
      <c r="E382" s="16"/>
      <c r="F382" s="191" t="s">
        <v>813</v>
      </c>
      <c r="G382" s="187" t="s">
        <v>813</v>
      </c>
      <c r="H382" s="31"/>
    </row>
    <row r="383" spans="1:9" ht="15.75" customHeight="1" x14ac:dyDescent="0.2">
      <c r="B383" s="229" t="s">
        <v>1268</v>
      </c>
      <c r="C383" s="16"/>
      <c r="D383" s="16"/>
      <c r="E383" s="16"/>
      <c r="F383" s="191"/>
      <c r="G383" s="187"/>
      <c r="H383" s="31"/>
    </row>
    <row r="384" spans="1:9" ht="15.75" customHeight="1" x14ac:dyDescent="0.2">
      <c r="B384" s="226" t="s">
        <v>285</v>
      </c>
      <c r="C384" s="16"/>
      <c r="D384" s="16"/>
      <c r="E384" s="16"/>
      <c r="F384" s="522">
        <f>+F62</f>
        <v>8040</v>
      </c>
      <c r="G384" s="522">
        <v>4010</v>
      </c>
      <c r="H384" s="31"/>
    </row>
    <row r="385" spans="1:8" ht="15.75" customHeight="1" x14ac:dyDescent="0.2">
      <c r="B385" s="226" t="s">
        <v>1269</v>
      </c>
      <c r="C385" s="16"/>
      <c r="D385" s="16"/>
      <c r="E385" s="16"/>
      <c r="F385" s="523">
        <v>0.18</v>
      </c>
      <c r="G385" s="520">
        <v>0.2</v>
      </c>
      <c r="H385" s="31"/>
    </row>
    <row r="386" spans="1:8" ht="15.75" customHeight="1" x14ac:dyDescent="0.2">
      <c r="B386" s="227"/>
      <c r="C386" s="16"/>
      <c r="D386" s="16"/>
      <c r="E386" s="16"/>
      <c r="F386" s="191"/>
      <c r="G386" s="187"/>
      <c r="H386" s="31"/>
    </row>
    <row r="387" spans="1:8" ht="15.75" customHeight="1" x14ac:dyDescent="0.2">
      <c r="B387" s="229" t="s">
        <v>1270</v>
      </c>
      <c r="C387" s="16"/>
      <c r="D387" s="16"/>
      <c r="E387" s="16"/>
      <c r="F387" s="191"/>
      <c r="G387" s="187"/>
      <c r="H387" s="31"/>
    </row>
    <row r="388" spans="1:8" ht="15.75" customHeight="1" x14ac:dyDescent="0.2">
      <c r="B388" s="184" t="s">
        <v>285</v>
      </c>
      <c r="C388" s="16"/>
      <c r="D388" s="16"/>
      <c r="E388" s="16"/>
      <c r="F388" s="522">
        <v>454034</v>
      </c>
      <c r="G388" s="522">
        <f>151530+111075+107411+71755</f>
        <v>441771</v>
      </c>
      <c r="H388" s="31"/>
    </row>
    <row r="389" spans="1:8" ht="15.75" customHeight="1" x14ac:dyDescent="0.2">
      <c r="B389" s="184" t="s">
        <v>1271</v>
      </c>
      <c r="C389" s="16"/>
      <c r="D389" s="16"/>
      <c r="E389" s="16"/>
      <c r="F389" s="523">
        <v>4</v>
      </c>
      <c r="G389" s="523">
        <v>3.9</v>
      </c>
      <c r="H389" s="31"/>
    </row>
    <row r="390" spans="1:8" ht="15.75" customHeight="1" x14ac:dyDescent="0.2">
      <c r="B390" s="226"/>
      <c r="C390" s="16"/>
      <c r="D390" s="16"/>
      <c r="E390" s="16"/>
      <c r="F390" s="518"/>
      <c r="G390" s="518"/>
      <c r="H390" s="31"/>
    </row>
    <row r="391" spans="1:8" ht="15.75" customHeight="1" x14ac:dyDescent="0.2">
      <c r="B391" s="226"/>
      <c r="C391" s="16"/>
      <c r="D391" s="16"/>
      <c r="E391" s="16"/>
      <c r="F391" s="521">
        <f>+F385+F389</f>
        <v>4.18</v>
      </c>
      <c r="G391" s="521">
        <f>+G385+G389</f>
        <v>4.0999999999999996</v>
      </c>
      <c r="H391" s="31"/>
    </row>
    <row r="392" spans="1:8" ht="15.75" customHeight="1" thickBot="1" x14ac:dyDescent="0.25">
      <c r="B392" s="227"/>
      <c r="C392" s="16"/>
      <c r="D392" s="16"/>
      <c r="E392" s="16"/>
      <c r="F392" s="519">
        <f>F384+F388</f>
        <v>462074</v>
      </c>
      <c r="G392" s="519">
        <f>G384+G388</f>
        <v>445781</v>
      </c>
      <c r="H392" s="31"/>
    </row>
    <row r="393" spans="1:8" ht="15.75" customHeight="1" thickTop="1" x14ac:dyDescent="0.2">
      <c r="B393" s="227"/>
      <c r="C393" s="16"/>
      <c r="D393" s="16"/>
      <c r="E393" s="16"/>
      <c r="F393" s="185"/>
      <c r="G393" s="185"/>
      <c r="H393" s="31"/>
    </row>
    <row r="394" spans="1:8" ht="15.75" customHeight="1" x14ac:dyDescent="0.2">
      <c r="B394" s="233"/>
      <c r="C394" s="16"/>
      <c r="D394" s="16"/>
      <c r="E394" s="16"/>
      <c r="F394" s="194"/>
      <c r="G394" s="185"/>
      <c r="H394" s="31"/>
    </row>
    <row r="395" spans="1:8" s="61" customFormat="1" ht="15.75" customHeight="1" x14ac:dyDescent="0.2">
      <c r="A395" s="244"/>
      <c r="B395" s="614" t="s">
        <v>1272</v>
      </c>
      <c r="C395" s="615"/>
      <c r="D395" s="615"/>
      <c r="E395" s="615"/>
      <c r="F395" s="615"/>
      <c r="G395" s="615"/>
      <c r="H395" s="192"/>
    </row>
    <row r="396" spans="1:8" s="61" customFormat="1" ht="39" customHeight="1" x14ac:dyDescent="0.2">
      <c r="A396" s="244"/>
      <c r="B396" s="615"/>
      <c r="C396" s="615"/>
      <c r="D396" s="615"/>
      <c r="E396" s="615"/>
      <c r="F396" s="615"/>
      <c r="G396" s="615"/>
      <c r="H396" s="192"/>
    </row>
    <row r="397" spans="1:8" s="16" customFormat="1" ht="15.75" customHeight="1" x14ac:dyDescent="0.2">
      <c r="A397" s="237"/>
      <c r="B397" s="234" t="s">
        <v>861</v>
      </c>
      <c r="C397" s="73"/>
      <c r="D397" s="73"/>
      <c r="E397" s="74"/>
      <c r="F397" s="203"/>
      <c r="G397" s="203"/>
      <c r="H397" s="185"/>
    </row>
    <row r="398" spans="1:8" s="16" customFormat="1" ht="15.75" customHeight="1" x14ac:dyDescent="0.2">
      <c r="A398" s="237"/>
      <c r="B398" s="235" t="s">
        <v>282</v>
      </c>
      <c r="C398" s="73"/>
      <c r="D398" s="73"/>
      <c r="E398" s="74"/>
      <c r="F398" s="203"/>
      <c r="G398" s="203"/>
      <c r="H398" s="185"/>
    </row>
    <row r="399" spans="1:8" s="16" customFormat="1" ht="15.75" customHeight="1" x14ac:dyDescent="0.2">
      <c r="A399" s="237"/>
      <c r="B399" s="235"/>
      <c r="C399" s="73"/>
      <c r="D399" s="73"/>
      <c r="E399" s="74"/>
      <c r="F399" s="203"/>
      <c r="G399" s="203"/>
      <c r="H399" s="185"/>
    </row>
    <row r="400" spans="1:8" s="16" customFormat="1" ht="15.75" customHeight="1" x14ac:dyDescent="0.2">
      <c r="A400" s="237"/>
      <c r="B400" s="235"/>
      <c r="C400" s="73"/>
      <c r="D400" s="73"/>
      <c r="F400" s="186">
        <f>'Comprehensive Income'!$C$5</f>
        <v>2017</v>
      </c>
      <c r="G400" s="186">
        <f>'Comprehensive Income'!$E$5</f>
        <v>2016</v>
      </c>
      <c r="H400" s="185"/>
    </row>
    <row r="401" spans="1:10" s="16" customFormat="1" ht="15.75" customHeight="1" x14ac:dyDescent="0.2">
      <c r="A401" s="237"/>
      <c r="B401" s="226"/>
      <c r="C401" s="61"/>
      <c r="D401" s="61"/>
      <c r="F401" s="191" t="s">
        <v>814</v>
      </c>
      <c r="G401" s="187" t="s">
        <v>814</v>
      </c>
      <c r="H401" s="185"/>
    </row>
    <row r="402" spans="1:10" s="16" customFormat="1" ht="15.75" customHeight="1" x14ac:dyDescent="0.2">
      <c r="A402" s="237"/>
      <c r="B402" s="226" t="s">
        <v>1016</v>
      </c>
      <c r="C402" s="61"/>
      <c r="D402" s="61"/>
      <c r="F402" s="204" t="s">
        <v>831</v>
      </c>
      <c r="G402" s="211" t="s">
        <v>831</v>
      </c>
      <c r="H402" s="185"/>
      <c r="J402" s="535"/>
    </row>
    <row r="403" spans="1:10" s="16" customFormat="1" ht="15.75" customHeight="1" x14ac:dyDescent="0.2">
      <c r="A403" s="237"/>
      <c r="B403" s="226" t="s">
        <v>1014</v>
      </c>
      <c r="D403" s="61"/>
      <c r="F403" s="103" t="s">
        <v>395</v>
      </c>
      <c r="G403" s="103" t="s">
        <v>395</v>
      </c>
      <c r="H403" s="185"/>
    </row>
    <row r="404" spans="1:10" s="16" customFormat="1" ht="15.75" customHeight="1" x14ac:dyDescent="0.2">
      <c r="A404" s="237"/>
      <c r="B404" s="236" t="s">
        <v>1015</v>
      </c>
      <c r="D404" s="61"/>
      <c r="F404" s="103" t="s">
        <v>1333</v>
      </c>
      <c r="G404" s="202" t="s">
        <v>832</v>
      </c>
      <c r="H404" s="185"/>
    </row>
    <row r="405" spans="1:10" s="16" customFormat="1" ht="15.75" customHeight="1" x14ac:dyDescent="0.2">
      <c r="A405" s="237"/>
      <c r="B405" s="236" t="s">
        <v>1039</v>
      </c>
      <c r="D405" s="61"/>
      <c r="F405" s="202" t="s">
        <v>832</v>
      </c>
      <c r="G405" s="202" t="s">
        <v>832</v>
      </c>
      <c r="H405" s="185"/>
    </row>
    <row r="406" spans="1:10" s="16" customFormat="1" ht="15.75" customHeight="1" x14ac:dyDescent="0.2">
      <c r="A406" s="237"/>
      <c r="B406" s="226"/>
      <c r="C406" s="61"/>
      <c r="D406" s="61"/>
      <c r="E406" s="75"/>
      <c r="F406" s="197"/>
      <c r="G406" s="197"/>
      <c r="H406" s="185"/>
    </row>
    <row r="407" spans="1:10" s="16" customFormat="1" ht="15.75" customHeight="1" x14ac:dyDescent="0.2">
      <c r="A407" s="237"/>
      <c r="B407" s="234" t="s">
        <v>1013</v>
      </c>
      <c r="C407" s="76"/>
      <c r="D407" s="76"/>
      <c r="E407" s="77"/>
      <c r="F407" s="205"/>
      <c r="G407" s="212"/>
      <c r="H407" s="185"/>
    </row>
    <row r="408" spans="1:10" s="16" customFormat="1" ht="15.75" customHeight="1" x14ac:dyDescent="0.2">
      <c r="A408" s="237"/>
      <c r="B408" s="184" t="s">
        <v>283</v>
      </c>
      <c r="C408" s="73"/>
      <c r="D408" s="73"/>
      <c r="F408" s="194"/>
      <c r="G408" s="194"/>
      <c r="H408" s="185"/>
    </row>
    <row r="409" spans="1:10" s="16" customFormat="1" ht="24.75" customHeight="1" x14ac:dyDescent="0.2">
      <c r="A409" s="237"/>
      <c r="B409" s="184"/>
      <c r="C409" s="73"/>
      <c r="D409" s="73"/>
      <c r="E409" s="186" t="s">
        <v>285</v>
      </c>
      <c r="F409" s="186">
        <f>'Comprehensive Income'!$C$5</f>
        <v>2017</v>
      </c>
      <c r="G409" s="186">
        <f>'Comprehensive Income'!$E$5</f>
        <v>2016</v>
      </c>
      <c r="H409" s="185"/>
    </row>
    <row r="410" spans="1:10" s="16" customFormat="1" ht="15.75" customHeight="1" x14ac:dyDescent="0.2">
      <c r="A410" s="237"/>
      <c r="B410" s="184"/>
      <c r="C410" s="73"/>
      <c r="D410" s="73"/>
      <c r="E410" s="449" t="s">
        <v>831</v>
      </c>
      <c r="F410" s="186" t="s">
        <v>284</v>
      </c>
      <c r="G410" s="186" t="s">
        <v>284</v>
      </c>
      <c r="H410" s="185"/>
    </row>
    <row r="411" spans="1:10" s="16" customFormat="1" ht="15.75" customHeight="1" x14ac:dyDescent="0.2">
      <c r="A411" s="237"/>
      <c r="B411" s="184"/>
      <c r="C411" s="73"/>
      <c r="D411" s="73"/>
      <c r="E411" s="103" t="s">
        <v>1022</v>
      </c>
      <c r="F411" s="103">
        <v>4</v>
      </c>
      <c r="G411" s="103">
        <v>3</v>
      </c>
      <c r="H411" s="185"/>
    </row>
    <row r="412" spans="1:10" s="16" customFormat="1" ht="15.75" customHeight="1" x14ac:dyDescent="0.2">
      <c r="A412" s="237"/>
      <c r="B412" s="184"/>
      <c r="C412" s="73"/>
      <c r="D412" s="73"/>
      <c r="E412" s="103" t="s">
        <v>1334</v>
      </c>
      <c r="F412" s="103">
        <v>1</v>
      </c>
      <c r="G412" s="103"/>
      <c r="H412" s="185"/>
    </row>
    <row r="413" spans="1:10" s="16" customFormat="1" ht="15.75" customHeight="1" thickBot="1" x14ac:dyDescent="0.25">
      <c r="A413" s="237"/>
      <c r="B413" s="184"/>
      <c r="C413" s="73"/>
      <c r="D413" s="73"/>
      <c r="E413" s="103"/>
      <c r="F413" s="462">
        <f>SUM(F411:F412)</f>
        <v>5</v>
      </c>
      <c r="G413" s="462">
        <f>SUM(G411:G412)</f>
        <v>3</v>
      </c>
      <c r="H413" s="185"/>
      <c r="J413" s="535"/>
    </row>
    <row r="414" spans="1:10" s="16" customFormat="1" ht="15.75" customHeight="1" thickTop="1" x14ac:dyDescent="0.2">
      <c r="A414" s="237"/>
      <c r="B414" s="223"/>
      <c r="C414" s="8"/>
      <c r="D414" s="8"/>
      <c r="F414" s="194"/>
      <c r="G414" s="194"/>
      <c r="H414" s="185"/>
    </row>
    <row r="415" spans="1:10" s="16" customFormat="1" ht="15.75" customHeight="1" x14ac:dyDescent="0.2">
      <c r="A415" s="237"/>
      <c r="B415" s="106" t="s">
        <v>1031</v>
      </c>
      <c r="C415" s="65"/>
      <c r="D415" s="65"/>
      <c r="E415" s="65"/>
      <c r="F415" s="196"/>
      <c r="G415" s="194"/>
      <c r="H415" s="185"/>
    </row>
    <row r="416" spans="1:10" s="16" customFormat="1" ht="15.75" customHeight="1" x14ac:dyDescent="0.2">
      <c r="A416" s="237"/>
      <c r="B416" s="223"/>
      <c r="C416" s="8"/>
      <c r="D416" s="8"/>
      <c r="F416" s="194"/>
      <c r="G416" s="194"/>
      <c r="H416" s="185"/>
      <c r="I416" s="71"/>
    </row>
    <row r="417" spans="1:10" s="16" customFormat="1" ht="15.75" customHeight="1" x14ac:dyDescent="0.2">
      <c r="A417" s="237"/>
      <c r="B417" s="223"/>
      <c r="C417" s="8"/>
      <c r="D417" s="8"/>
      <c r="F417" s="194"/>
      <c r="G417" s="194"/>
      <c r="H417" s="185"/>
    </row>
    <row r="418" spans="1:10" s="16" customFormat="1" ht="15.75" customHeight="1" x14ac:dyDescent="0.25">
      <c r="A418" s="237">
        <f>A374+1</f>
        <v>24</v>
      </c>
      <c r="B418" s="231" t="s">
        <v>875</v>
      </c>
      <c r="C418" s="11"/>
      <c r="D418" s="11"/>
      <c r="E418" s="78"/>
      <c r="F418" s="171"/>
      <c r="G418" s="171"/>
      <c r="H418" s="219"/>
      <c r="J418" s="535"/>
    </row>
    <row r="419" spans="1:10" s="16" customFormat="1" ht="15.75" customHeight="1" x14ac:dyDescent="0.2">
      <c r="A419" s="237"/>
      <c r="B419" s="222"/>
      <c r="C419" s="11"/>
      <c r="D419" s="11"/>
      <c r="E419" s="78"/>
      <c r="F419" s="171"/>
      <c r="G419" s="171"/>
      <c r="H419" s="219"/>
    </row>
    <row r="420" spans="1:10" s="16" customFormat="1" ht="15.75" customHeight="1" x14ac:dyDescent="0.2">
      <c r="A420" s="237"/>
      <c r="B420" s="616" t="s">
        <v>1033</v>
      </c>
      <c r="C420" s="616"/>
      <c r="D420" s="616"/>
      <c r="E420" s="616"/>
      <c r="F420" s="616"/>
      <c r="G420" s="616"/>
      <c r="H420" s="616"/>
    </row>
    <row r="421" spans="1:10" s="16" customFormat="1" ht="15.75" customHeight="1" x14ac:dyDescent="0.2">
      <c r="A421" s="237"/>
      <c r="B421" s="616"/>
      <c r="C421" s="616"/>
      <c r="D421" s="616"/>
      <c r="E421" s="616"/>
      <c r="F421" s="616"/>
      <c r="G421" s="616"/>
      <c r="H421" s="616"/>
    </row>
    <row r="422" spans="1:10" s="61" customFormat="1" ht="15.75" customHeight="1" x14ac:dyDescent="0.2">
      <c r="A422" s="244"/>
      <c r="B422" s="616"/>
      <c r="C422" s="616"/>
      <c r="D422" s="616"/>
      <c r="E422" s="616"/>
      <c r="F422" s="616"/>
      <c r="G422" s="616"/>
      <c r="H422" s="616"/>
    </row>
    <row r="423" spans="1:10" s="61" customFormat="1" ht="15.75" customHeight="1" x14ac:dyDescent="0.2">
      <c r="A423" s="244"/>
      <c r="B423" s="81"/>
      <c r="C423" s="72"/>
      <c r="D423" s="72"/>
      <c r="E423" s="72"/>
      <c r="F423" s="201"/>
      <c r="G423" s="213"/>
      <c r="H423" s="220"/>
    </row>
    <row r="424" spans="1:10" ht="15.75" customHeight="1" x14ac:dyDescent="0.2">
      <c r="B424" s="54"/>
      <c r="C424" s="69"/>
      <c r="D424" s="69"/>
      <c r="E424" s="11"/>
      <c r="F424" s="186">
        <f>'Comprehensive Income'!$C$5</f>
        <v>2017</v>
      </c>
      <c r="G424" s="186">
        <f>'Comprehensive Income'!$E$5</f>
        <v>2016</v>
      </c>
      <c r="H424" s="221"/>
    </row>
    <row r="425" spans="1:10" ht="15.75" customHeight="1" x14ac:dyDescent="0.2">
      <c r="B425" s="54"/>
      <c r="C425" s="69"/>
      <c r="D425" s="69"/>
      <c r="E425" s="11"/>
      <c r="F425" s="79" t="s">
        <v>814</v>
      </c>
      <c r="G425" s="193" t="s">
        <v>814</v>
      </c>
      <c r="H425" s="221"/>
    </row>
    <row r="426" spans="1:10" ht="15.75" customHeight="1" x14ac:dyDescent="0.2">
      <c r="B426" s="54"/>
      <c r="C426" s="69"/>
      <c r="D426" s="69"/>
      <c r="E426" s="11"/>
      <c r="F426" s="79"/>
      <c r="G426" s="193"/>
      <c r="H426" s="221"/>
    </row>
    <row r="427" spans="1:10" ht="15.75" customHeight="1" x14ac:dyDescent="0.2">
      <c r="B427" s="222" t="s">
        <v>1011</v>
      </c>
      <c r="C427" s="11"/>
      <c r="D427" s="79"/>
      <c r="E427" s="11"/>
      <c r="F427" s="202" t="s">
        <v>832</v>
      </c>
      <c r="G427" s="202" t="s">
        <v>832</v>
      </c>
      <c r="H427" s="209"/>
    </row>
    <row r="428" spans="1:10" s="61" customFormat="1" ht="15.75" customHeight="1" x14ac:dyDescent="0.2">
      <c r="A428" s="244"/>
      <c r="B428" s="222" t="s">
        <v>824</v>
      </c>
      <c r="C428" s="49"/>
      <c r="D428" s="66"/>
      <c r="E428" s="11"/>
      <c r="F428" s="202" t="s">
        <v>832</v>
      </c>
      <c r="G428" s="202" t="s">
        <v>832</v>
      </c>
      <c r="H428" s="209"/>
    </row>
    <row r="429" spans="1:10" s="26" customFormat="1" ht="15.75" customHeight="1" x14ac:dyDescent="0.2">
      <c r="A429" s="238"/>
      <c r="B429" s="223"/>
      <c r="C429" s="8"/>
      <c r="D429" s="8"/>
      <c r="E429" s="8"/>
      <c r="F429" s="192"/>
      <c r="G429" s="31"/>
      <c r="H429" s="192"/>
    </row>
    <row r="430" spans="1:10" s="26" customFormat="1" ht="15.75" customHeight="1" x14ac:dyDescent="0.2">
      <c r="A430" s="238"/>
      <c r="B430" s="35" t="s">
        <v>1335</v>
      </c>
      <c r="C430" s="8"/>
      <c r="D430" s="8"/>
      <c r="E430" s="8"/>
      <c r="F430" s="192"/>
      <c r="G430" s="31"/>
      <c r="H430" s="192"/>
    </row>
    <row r="431" spans="1:10" ht="15.75" customHeight="1" x14ac:dyDescent="0.2">
      <c r="B431" s="222" t="s">
        <v>1011</v>
      </c>
      <c r="C431" s="11"/>
      <c r="D431" s="79"/>
      <c r="E431" s="11"/>
      <c r="F431" s="202" t="s">
        <v>832</v>
      </c>
      <c r="G431" s="536">
        <v>139605</v>
      </c>
      <c r="H431" s="209"/>
    </row>
    <row r="432" spans="1:10" s="61" customFormat="1" ht="15.75" customHeight="1" x14ac:dyDescent="0.2">
      <c r="A432" s="244"/>
      <c r="B432" s="222" t="s">
        <v>824</v>
      </c>
      <c r="C432" s="49"/>
      <c r="D432" s="66"/>
      <c r="E432" s="11"/>
      <c r="F432" s="202" t="s">
        <v>832</v>
      </c>
      <c r="G432" s="202">
        <v>9</v>
      </c>
      <c r="H432" s="209"/>
    </row>
    <row r="433" spans="1:13" s="26" customFormat="1" ht="6.75" customHeight="1" x14ac:dyDescent="0.2">
      <c r="A433" s="238"/>
      <c r="B433" s="184"/>
      <c r="C433" s="8"/>
      <c r="D433" s="8"/>
      <c r="E433" s="8"/>
      <c r="F433" s="192"/>
      <c r="G433" s="31"/>
      <c r="H433" s="192"/>
    </row>
    <row r="434" spans="1:13" s="26" customFormat="1" ht="15.75" customHeight="1" x14ac:dyDescent="0.2">
      <c r="A434" s="238"/>
      <c r="B434" s="612" t="s">
        <v>1336</v>
      </c>
      <c r="C434" s="612"/>
      <c r="D434" s="612"/>
      <c r="E434" s="612"/>
      <c r="F434" s="612"/>
      <c r="G434" s="612"/>
      <c r="H434" s="612"/>
      <c r="I434" s="612"/>
    </row>
    <row r="435" spans="1:13" s="26" customFormat="1" ht="15.75" customHeight="1" x14ac:dyDescent="0.2">
      <c r="A435" s="238"/>
      <c r="B435" s="612"/>
      <c r="C435" s="612"/>
      <c r="D435" s="612"/>
      <c r="E435" s="612"/>
      <c r="F435" s="612"/>
      <c r="G435" s="612"/>
      <c r="H435" s="612"/>
      <c r="I435" s="612"/>
    </row>
    <row r="436" spans="1:13" s="26" customFormat="1" ht="15.75" customHeight="1" x14ac:dyDescent="0.2">
      <c r="A436" s="238"/>
      <c r="B436" s="528"/>
      <c r="C436" s="528"/>
      <c r="D436" s="528"/>
      <c r="E436" s="528"/>
      <c r="F436" s="528"/>
      <c r="G436" s="528"/>
      <c r="H436" s="528"/>
      <c r="I436" s="528"/>
    </row>
    <row r="437" spans="1:13" s="26" customFormat="1" ht="15.75" customHeight="1" x14ac:dyDescent="0.2">
      <c r="A437" s="237">
        <f>A418+1</f>
        <v>25</v>
      </c>
      <c r="B437" s="227" t="s">
        <v>876</v>
      </c>
      <c r="C437" s="16"/>
      <c r="D437" s="16"/>
      <c r="E437" s="16"/>
      <c r="F437" s="194"/>
      <c r="G437" s="185"/>
      <c r="H437" s="210"/>
      <c r="J437" s="535"/>
      <c r="M437" s="26" t="s">
        <v>1055</v>
      </c>
    </row>
    <row r="438" spans="1:13" s="26" customFormat="1" ht="15.75" customHeight="1" x14ac:dyDescent="0.2">
      <c r="A438" s="237"/>
      <c r="B438" s="227"/>
      <c r="C438" s="16"/>
      <c r="D438" s="16"/>
      <c r="E438" s="16"/>
      <c r="F438" s="194"/>
      <c r="G438" s="185"/>
      <c r="H438" s="210"/>
    </row>
    <row r="439" spans="1:13" s="26" customFormat="1" ht="15.75" customHeight="1" x14ac:dyDescent="0.2">
      <c r="A439" s="237"/>
      <c r="B439" s="184" t="s">
        <v>1311</v>
      </c>
      <c r="C439" s="16"/>
      <c r="D439" s="16"/>
      <c r="E439" s="16"/>
      <c r="F439" s="194"/>
      <c r="G439" s="185"/>
      <c r="H439" s="210"/>
    </row>
    <row r="440" spans="1:13" s="26" customFormat="1" ht="15.75" customHeight="1" x14ac:dyDescent="0.2">
      <c r="A440" s="237"/>
      <c r="B440" s="227"/>
      <c r="C440" s="16"/>
      <c r="D440" s="16"/>
      <c r="E440" s="16"/>
      <c r="F440" s="194"/>
      <c r="G440" s="185"/>
      <c r="H440" s="210"/>
    </row>
    <row r="441" spans="1:13" s="26" customFormat="1" ht="15" customHeight="1" x14ac:dyDescent="0.2">
      <c r="A441" s="238"/>
      <c r="B441" s="323"/>
      <c r="C441" s="324"/>
      <c r="D441" s="324"/>
      <c r="E441" s="324"/>
      <c r="F441" s="324"/>
      <c r="G441" s="324"/>
      <c r="H441" s="324"/>
    </row>
    <row r="442" spans="1:13" s="26" customFormat="1" ht="15.75" customHeight="1" x14ac:dyDescent="0.2">
      <c r="A442" s="237">
        <f>A437+1</f>
        <v>26</v>
      </c>
      <c r="B442" s="227" t="s">
        <v>877</v>
      </c>
      <c r="C442" s="16"/>
      <c r="D442" s="16"/>
      <c r="E442" s="34"/>
      <c r="F442" s="185"/>
      <c r="G442" s="185"/>
      <c r="H442" s="210"/>
      <c r="J442" s="535"/>
    </row>
    <row r="443" spans="1:13" s="26" customFormat="1" ht="15.75" customHeight="1" x14ac:dyDescent="0.2">
      <c r="A443" s="238"/>
      <c r="B443" s="42"/>
      <c r="C443" s="42"/>
      <c r="D443" s="42"/>
      <c r="E443" s="42"/>
      <c r="F443" s="206"/>
      <c r="G443" s="215"/>
      <c r="H443" s="210"/>
    </row>
    <row r="444" spans="1:13" s="26" customFormat="1" ht="15.75" customHeight="1" x14ac:dyDescent="0.2">
      <c r="A444" s="238"/>
      <c r="B444" s="54" t="s">
        <v>830</v>
      </c>
      <c r="C444" s="32"/>
      <c r="D444" s="32"/>
      <c r="E444" s="32"/>
      <c r="F444" s="199"/>
      <c r="G444" s="216"/>
      <c r="H444" s="210"/>
      <c r="J444" s="10"/>
    </row>
    <row r="445" spans="1:13" s="26" customFormat="1" ht="15.75" customHeight="1" x14ac:dyDescent="0.2">
      <c r="A445" s="238"/>
      <c r="B445" s="35"/>
      <c r="C445" s="69"/>
      <c r="D445" s="69"/>
      <c r="E445" s="70"/>
      <c r="F445" s="186"/>
      <c r="G445" s="186"/>
      <c r="H445" s="210"/>
    </row>
    <row r="446" spans="1:13" s="26" customFormat="1" ht="15.75" customHeight="1" x14ac:dyDescent="0.2">
      <c r="A446" s="238"/>
      <c r="B446" s="612" t="s">
        <v>1354</v>
      </c>
      <c r="C446" s="612"/>
      <c r="D446" s="612"/>
      <c r="E446" s="612"/>
      <c r="F446" s="612"/>
      <c r="G446" s="612"/>
      <c r="H446" s="612"/>
      <c r="I446" s="612"/>
    </row>
    <row r="447" spans="1:13" s="26" customFormat="1" ht="15.75" customHeight="1" x14ac:dyDescent="0.2">
      <c r="A447" s="238"/>
      <c r="B447" s="612"/>
      <c r="C447" s="612"/>
      <c r="D447" s="612"/>
      <c r="E447" s="612"/>
      <c r="F447" s="612"/>
      <c r="G447" s="612"/>
      <c r="H447" s="612"/>
      <c r="I447" s="612"/>
    </row>
    <row r="448" spans="1:13" s="26" customFormat="1" ht="15.75" customHeight="1" x14ac:dyDescent="0.2">
      <c r="A448" s="238"/>
      <c r="B448" s="106" t="s">
        <v>1312</v>
      </c>
      <c r="C448" s="58"/>
      <c r="D448" s="58"/>
      <c r="E448" s="58"/>
      <c r="F448" s="199"/>
      <c r="G448" s="199"/>
      <c r="H448" s="195"/>
    </row>
    <row r="449" spans="1:8" s="26" customFormat="1" ht="15.75" customHeight="1" x14ac:dyDescent="0.2">
      <c r="A449" s="238"/>
      <c r="B449" s="32"/>
      <c r="C449" s="58"/>
      <c r="D449" s="58"/>
      <c r="E449" s="58"/>
      <c r="F449" s="199"/>
      <c r="G449" s="199"/>
      <c r="H449" s="195"/>
    </row>
    <row r="450" spans="1:8" s="26" customFormat="1" ht="15.75" customHeight="1" x14ac:dyDescent="0.2">
      <c r="A450" s="238"/>
      <c r="B450" s="35" t="s">
        <v>858</v>
      </c>
      <c r="C450" s="8"/>
      <c r="D450" s="8"/>
      <c r="E450" s="30"/>
      <c r="F450" s="30"/>
      <c r="G450" s="30"/>
      <c r="H450" s="210"/>
    </row>
    <row r="451" spans="1:8" s="26" customFormat="1" ht="15.75" customHeight="1" x14ac:dyDescent="0.2">
      <c r="A451" s="238"/>
      <c r="B451" s="35"/>
      <c r="C451" s="8"/>
      <c r="D451" s="8"/>
      <c r="E451" s="30"/>
      <c r="F451" s="30"/>
      <c r="G451" s="30"/>
      <c r="H451" s="210"/>
    </row>
    <row r="452" spans="1:8" s="26" customFormat="1" ht="15.75" customHeight="1" x14ac:dyDescent="0.2">
      <c r="A452" s="238"/>
      <c r="B452" s="619" t="s">
        <v>1313</v>
      </c>
      <c r="C452" s="620"/>
      <c r="D452" s="620"/>
      <c r="E452" s="620"/>
      <c r="F452" s="620"/>
      <c r="G452" s="620"/>
      <c r="H452" s="210"/>
    </row>
    <row r="453" spans="1:8" s="26" customFormat="1" ht="15.75" customHeight="1" x14ac:dyDescent="0.2">
      <c r="A453" s="238"/>
      <c r="B453" s="32"/>
      <c r="C453" s="58"/>
      <c r="D453" s="58"/>
      <c r="E453" s="58"/>
      <c r="F453" s="199"/>
      <c r="G453" s="199"/>
      <c r="H453" s="210"/>
    </row>
    <row r="454" spans="1:8" s="26" customFormat="1" ht="15.75" customHeight="1" x14ac:dyDescent="0.2">
      <c r="A454" s="238"/>
      <c r="B454" s="184" t="s">
        <v>888</v>
      </c>
      <c r="C454" s="58"/>
      <c r="D454" s="58"/>
      <c r="E454" s="58"/>
      <c r="F454" s="199"/>
      <c r="G454" s="199"/>
      <c r="H454" s="210"/>
    </row>
    <row r="455" spans="1:8" s="26" customFormat="1" ht="15.75" customHeight="1" x14ac:dyDescent="0.2">
      <c r="A455" s="238"/>
      <c r="B455" s="184" t="s">
        <v>1277</v>
      </c>
      <c r="F455" s="186">
        <f>'Comprehensive Income'!$C$5</f>
        <v>2017</v>
      </c>
      <c r="G455" s="186">
        <f>'Comprehensive Income'!$E$5</f>
        <v>2016</v>
      </c>
      <c r="H455" s="210"/>
    </row>
    <row r="456" spans="1:8" s="26" customFormat="1" ht="15.75" customHeight="1" x14ac:dyDescent="0.2">
      <c r="A456" s="238"/>
      <c r="B456" s="184"/>
      <c r="F456" s="191" t="s">
        <v>814</v>
      </c>
      <c r="G456" s="187" t="s">
        <v>814</v>
      </c>
      <c r="H456" s="210"/>
    </row>
    <row r="457" spans="1:8" ht="15.75" customHeight="1" x14ac:dyDescent="0.2">
      <c r="B457" s="184"/>
      <c r="C457" s="26"/>
      <c r="D457" s="26"/>
      <c r="E457" s="26"/>
      <c r="F457" s="191" t="s">
        <v>813</v>
      </c>
      <c r="G457" s="187" t="s">
        <v>813</v>
      </c>
      <c r="H457" s="210"/>
    </row>
    <row r="458" spans="1:8" s="26" customFormat="1" ht="15.75" customHeight="1" x14ac:dyDescent="0.2">
      <c r="A458" s="238"/>
      <c r="B458" s="223" t="s">
        <v>838</v>
      </c>
      <c r="C458" s="8"/>
      <c r="D458" s="8"/>
      <c r="F458" s="207">
        <v>198158</v>
      </c>
      <c r="G458" s="207">
        <v>296112</v>
      </c>
      <c r="H458" s="210"/>
    </row>
    <row r="459" spans="1:8" s="26" customFormat="1" ht="15.75" customHeight="1" x14ac:dyDescent="0.2">
      <c r="A459" s="238"/>
      <c r="B459" s="223" t="s">
        <v>839</v>
      </c>
      <c r="C459" s="8"/>
      <c r="D459" s="8"/>
      <c r="E459" s="8"/>
      <c r="F459" s="208">
        <v>44199</v>
      </c>
      <c r="G459" s="208">
        <v>242362</v>
      </c>
      <c r="H459" s="31"/>
    </row>
    <row r="460" spans="1:8" s="26" customFormat="1" ht="15.75" hidden="1" customHeight="1" x14ac:dyDescent="0.2">
      <c r="A460" s="238"/>
      <c r="B460" s="223" t="s">
        <v>840</v>
      </c>
      <c r="C460" s="8"/>
      <c r="D460" s="8"/>
      <c r="F460" s="208"/>
      <c r="G460" s="208"/>
      <c r="H460" s="210"/>
    </row>
    <row r="461" spans="1:8" s="26" customFormat="1" ht="15.75" customHeight="1" thickBot="1" x14ac:dyDescent="0.25">
      <c r="A461" s="238"/>
      <c r="B461" s="223"/>
      <c r="C461" s="8"/>
      <c r="D461" s="8"/>
      <c r="F461" s="450">
        <f>SUM(F458:F459)</f>
        <v>242357</v>
      </c>
      <c r="G461" s="450">
        <f>SUM(G458:G460)</f>
        <v>538474</v>
      </c>
      <c r="H461" s="210"/>
    </row>
    <row r="462" spans="1:8" s="26" customFormat="1" ht="15.75" customHeight="1" thickTop="1" x14ac:dyDescent="0.2">
      <c r="A462" s="238"/>
      <c r="B462" s="223"/>
      <c r="C462" s="8"/>
      <c r="D462" s="8"/>
      <c r="E462" s="37"/>
      <c r="F462" s="30"/>
      <c r="G462" s="30"/>
      <c r="H462" s="210"/>
    </row>
    <row r="463" spans="1:8" s="26" customFormat="1" ht="15.75" customHeight="1" x14ac:dyDescent="0.2">
      <c r="A463" s="237">
        <f>+A442+1</f>
        <v>27</v>
      </c>
      <c r="B463" s="227" t="s">
        <v>287</v>
      </c>
      <c r="E463" s="56"/>
      <c r="F463" s="48"/>
      <c r="G463" s="48"/>
      <c r="H463" s="210"/>
    </row>
    <row r="464" spans="1:8" s="26" customFormat="1" ht="70.5" customHeight="1" x14ac:dyDescent="0.2">
      <c r="A464" s="238"/>
      <c r="B464" s="612" t="s">
        <v>288</v>
      </c>
      <c r="C464" s="612"/>
      <c r="D464" s="612"/>
      <c r="E464" s="612"/>
      <c r="F464" s="612"/>
      <c r="G464" s="612"/>
      <c r="H464" s="612"/>
    </row>
    <row r="465" spans="1:10" s="26" customFormat="1" ht="15.75" customHeight="1" x14ac:dyDescent="0.2">
      <c r="A465" s="238"/>
      <c r="B465" s="184"/>
      <c r="E465" s="56"/>
      <c r="F465" s="48"/>
      <c r="G465" s="48"/>
      <c r="H465" s="210"/>
    </row>
    <row r="466" spans="1:10" s="26" customFormat="1" ht="15.75" customHeight="1" x14ac:dyDescent="0.2">
      <c r="A466" s="237">
        <f>+A463+1</f>
        <v>28</v>
      </c>
      <c r="B466" s="227" t="s">
        <v>1273</v>
      </c>
      <c r="E466" s="56"/>
      <c r="F466" s="48"/>
      <c r="G466" s="48"/>
      <c r="H466" s="210"/>
    </row>
    <row r="467" spans="1:10" s="26" customFormat="1" ht="15.75" customHeight="1" x14ac:dyDescent="0.2">
      <c r="A467" s="238"/>
      <c r="B467" s="184"/>
      <c r="E467" s="56"/>
      <c r="F467" s="48"/>
      <c r="G467" s="48"/>
      <c r="H467" s="210"/>
    </row>
    <row r="468" spans="1:10" s="26" customFormat="1" ht="15.75" customHeight="1" x14ac:dyDescent="0.2">
      <c r="A468" s="238"/>
      <c r="B468" s="184" t="s">
        <v>289</v>
      </c>
      <c r="E468" s="56"/>
      <c r="F468" s="48"/>
      <c r="G468" s="48"/>
      <c r="H468" s="210"/>
    </row>
    <row r="469" spans="1:10" s="26" customFormat="1" ht="15.75" customHeight="1" x14ac:dyDescent="0.2">
      <c r="A469" s="238"/>
      <c r="B469" s="184"/>
      <c r="E469" s="56"/>
      <c r="F469" s="48"/>
      <c r="G469" s="48"/>
      <c r="H469" s="210"/>
    </row>
    <row r="470" spans="1:10" s="26" customFormat="1" ht="15.75" customHeight="1" x14ac:dyDescent="0.2">
      <c r="A470" s="238"/>
      <c r="B470" s="35" t="s">
        <v>290</v>
      </c>
      <c r="E470" s="56"/>
      <c r="F470" s="48"/>
      <c r="G470" s="48"/>
      <c r="H470" s="210"/>
    </row>
    <row r="471" spans="1:10" s="26" customFormat="1" ht="15.75" customHeight="1" x14ac:dyDescent="0.2">
      <c r="A471" s="238"/>
      <c r="B471" s="184"/>
      <c r="E471" s="56"/>
      <c r="F471" s="186">
        <f>'Comprehensive Income'!$C$5</f>
        <v>2017</v>
      </c>
      <c r="G471" s="186">
        <f>'Comprehensive Income'!$D$5</f>
        <v>2017</v>
      </c>
      <c r="H471" s="186">
        <f>'Comprehensive Income'!$E$5</f>
        <v>2016</v>
      </c>
    </row>
    <row r="472" spans="1:10" s="26" customFormat="1" ht="15.75" customHeight="1" x14ac:dyDescent="0.2">
      <c r="A472" s="238"/>
      <c r="B472" s="184"/>
      <c r="E472" s="56"/>
      <c r="F472" s="191" t="s">
        <v>814</v>
      </c>
      <c r="G472" s="187" t="s">
        <v>815</v>
      </c>
      <c r="H472" s="187" t="s">
        <v>814</v>
      </c>
    </row>
    <row r="473" spans="1:10" s="26" customFormat="1" ht="15.75" customHeight="1" x14ac:dyDescent="0.2">
      <c r="A473" s="238"/>
      <c r="B473" s="184"/>
      <c r="E473" s="56"/>
      <c r="F473" s="191"/>
      <c r="G473" s="211" t="s">
        <v>369</v>
      </c>
      <c r="H473" s="187"/>
    </row>
    <row r="474" spans="1:10" s="26" customFormat="1" ht="15.75" customHeight="1" x14ac:dyDescent="0.2">
      <c r="A474" s="238"/>
      <c r="B474" s="184"/>
      <c r="E474" s="56"/>
      <c r="F474" s="191" t="s">
        <v>813</v>
      </c>
      <c r="G474" s="187" t="s">
        <v>813</v>
      </c>
      <c r="H474" s="187" t="s">
        <v>813</v>
      </c>
    </row>
    <row r="475" spans="1:10" s="26" customFormat="1" ht="15.75" customHeight="1" x14ac:dyDescent="0.2">
      <c r="A475" s="238"/>
      <c r="B475" s="184"/>
      <c r="E475" s="56"/>
      <c r="F475" s="48"/>
      <c r="G475" s="48"/>
      <c r="H475" s="210"/>
    </row>
    <row r="476" spans="1:10" s="26" customFormat="1" ht="15.75" customHeight="1" x14ac:dyDescent="0.2">
      <c r="A476" s="238"/>
      <c r="B476" s="184" t="s">
        <v>855</v>
      </c>
      <c r="E476" s="56"/>
      <c r="F476" s="48">
        <f>+F180</f>
        <v>2723519.94</v>
      </c>
      <c r="G476" s="48">
        <f>+G180</f>
        <v>2154353</v>
      </c>
      <c r="H476" s="48">
        <f>+H180</f>
        <v>601775</v>
      </c>
      <c r="J476" s="535"/>
    </row>
    <row r="477" spans="1:10" s="26" customFormat="1" ht="15.75" customHeight="1" x14ac:dyDescent="0.2">
      <c r="A477" s="238"/>
      <c r="B477" s="184" t="s">
        <v>291</v>
      </c>
      <c r="E477" s="56"/>
      <c r="F477" s="48">
        <f>+F196</f>
        <v>983285.67999999993</v>
      </c>
      <c r="G477" s="48">
        <v>1105201</v>
      </c>
      <c r="H477" s="48">
        <v>949194</v>
      </c>
      <c r="J477" s="535"/>
    </row>
    <row r="478" spans="1:10" s="26" customFormat="1" ht="15.75" customHeight="1" x14ac:dyDescent="0.2">
      <c r="A478" s="238"/>
      <c r="B478" s="184" t="s">
        <v>292</v>
      </c>
      <c r="E478" s="56"/>
      <c r="F478" s="48">
        <f>+F217+F221</f>
        <v>6101371</v>
      </c>
      <c r="G478" s="48">
        <v>2854693</v>
      </c>
      <c r="H478" s="217">
        <v>6852768</v>
      </c>
      <c r="J478" s="535"/>
    </row>
    <row r="479" spans="1:10" s="26" customFormat="1" ht="15.75" customHeight="1" x14ac:dyDescent="0.2">
      <c r="A479" s="238"/>
      <c r="B479" s="184"/>
      <c r="E479" s="56"/>
      <c r="F479" s="48"/>
      <c r="G479" s="48"/>
      <c r="H479" s="210"/>
    </row>
    <row r="480" spans="1:10" s="26" customFormat="1" ht="15.75" customHeight="1" thickBot="1" x14ac:dyDescent="0.25">
      <c r="A480" s="238"/>
      <c r="B480" s="184" t="s">
        <v>297</v>
      </c>
      <c r="E480" s="56"/>
      <c r="F480" s="451">
        <f>SUM(F475:F478)</f>
        <v>9808176.620000001</v>
      </c>
      <c r="G480" s="451">
        <f>SUM(G475:G478)</f>
        <v>6114247</v>
      </c>
      <c r="H480" s="451">
        <f>SUM(H475:H478)</f>
        <v>8403737</v>
      </c>
    </row>
    <row r="481" spans="1:10" s="26" customFormat="1" ht="15.75" customHeight="1" thickTop="1" x14ac:dyDescent="0.2">
      <c r="A481" s="238"/>
      <c r="B481" s="184"/>
      <c r="E481" s="56"/>
      <c r="F481" s="48"/>
      <c r="G481" s="48"/>
      <c r="H481" s="210"/>
    </row>
    <row r="482" spans="1:10" s="26" customFormat="1" ht="15.75" customHeight="1" x14ac:dyDescent="0.2">
      <c r="A482" s="238"/>
      <c r="B482" s="35" t="s">
        <v>293</v>
      </c>
      <c r="E482" s="56"/>
      <c r="F482" s="48"/>
      <c r="G482" s="48"/>
      <c r="H482" s="210"/>
    </row>
    <row r="483" spans="1:10" s="26" customFormat="1" ht="15.75" customHeight="1" x14ac:dyDescent="0.2">
      <c r="A483" s="238"/>
      <c r="B483" s="184"/>
      <c r="E483" s="56"/>
      <c r="F483" s="48"/>
      <c r="G483" s="48"/>
      <c r="H483" s="210"/>
    </row>
    <row r="484" spans="1:10" s="26" customFormat="1" ht="15.75" customHeight="1" x14ac:dyDescent="0.2">
      <c r="A484" s="238"/>
      <c r="B484" s="184" t="s">
        <v>294</v>
      </c>
      <c r="E484" s="56"/>
      <c r="F484" s="48">
        <f>+F283</f>
        <v>875633.53</v>
      </c>
      <c r="G484" s="48">
        <v>984716</v>
      </c>
      <c r="H484" s="103">
        <f>+H283</f>
        <v>782568.61</v>
      </c>
    </row>
    <row r="485" spans="1:10" s="26" customFormat="1" ht="15.75" customHeight="1" x14ac:dyDescent="0.2">
      <c r="A485" s="238"/>
      <c r="B485" s="184" t="s">
        <v>295</v>
      </c>
      <c r="E485" s="56"/>
      <c r="F485" s="455">
        <v>0</v>
      </c>
      <c r="G485" s="455">
        <v>0</v>
      </c>
      <c r="H485" s="455">
        <v>0</v>
      </c>
    </row>
    <row r="486" spans="1:10" s="26" customFormat="1" ht="15.75" customHeight="1" x14ac:dyDescent="0.2">
      <c r="A486" s="238"/>
      <c r="B486" s="184" t="s">
        <v>296</v>
      </c>
      <c r="E486" s="56"/>
      <c r="F486" s="455">
        <v>117707</v>
      </c>
      <c r="G486" s="455">
        <v>0</v>
      </c>
      <c r="H486" s="455">
        <v>108532</v>
      </c>
    </row>
    <row r="487" spans="1:10" s="26" customFormat="1" ht="15.75" customHeight="1" x14ac:dyDescent="0.2">
      <c r="A487" s="238"/>
      <c r="B487" s="184"/>
      <c r="E487" s="56"/>
      <c r="F487" s="48"/>
      <c r="G487" s="48"/>
      <c r="H487" s="210"/>
    </row>
    <row r="488" spans="1:10" s="26" customFormat="1" ht="15.75" customHeight="1" thickBot="1" x14ac:dyDescent="0.25">
      <c r="A488" s="238"/>
      <c r="B488" s="184" t="s">
        <v>298</v>
      </c>
      <c r="E488" s="56"/>
      <c r="F488" s="451">
        <f>SUM(F484:F487)</f>
        <v>993340.53</v>
      </c>
      <c r="G488" s="451">
        <f>SUM(G484:G487)</f>
        <v>984716</v>
      </c>
      <c r="H488" s="451">
        <f>SUM(H484:H487)</f>
        <v>891100.61</v>
      </c>
    </row>
    <row r="489" spans="1:10" s="26" customFormat="1" ht="15.75" customHeight="1" thickTop="1" x14ac:dyDescent="0.2">
      <c r="A489" s="238"/>
      <c r="B489" s="184"/>
      <c r="E489" s="56"/>
      <c r="F489" s="48"/>
      <c r="G489" s="48"/>
      <c r="H489" s="210"/>
    </row>
    <row r="490" spans="1:10" s="26" customFormat="1" ht="15.75" customHeight="1" x14ac:dyDescent="0.2">
      <c r="A490" s="238"/>
      <c r="B490" s="184"/>
      <c r="E490" s="56"/>
      <c r="F490" s="48"/>
      <c r="G490" s="48"/>
      <c r="H490" s="210"/>
    </row>
    <row r="491" spans="1:10" s="26" customFormat="1" ht="15.75" customHeight="1" x14ac:dyDescent="0.2">
      <c r="A491" s="237">
        <f>+A466+1</f>
        <v>29</v>
      </c>
      <c r="B491" s="227" t="s">
        <v>286</v>
      </c>
      <c r="E491" s="56"/>
      <c r="F491" s="48"/>
      <c r="G491" s="48"/>
      <c r="H491" s="210"/>
      <c r="J491" s="535"/>
    </row>
    <row r="493" spans="1:10" ht="15.75" customHeight="1" x14ac:dyDescent="0.2">
      <c r="B493" s="222" t="s">
        <v>878</v>
      </c>
    </row>
    <row r="494" spans="1:10" ht="15.75" customHeight="1" x14ac:dyDescent="0.2">
      <c r="B494" s="184" t="s">
        <v>1314</v>
      </c>
    </row>
    <row r="496" spans="1:10" ht="15.75" customHeight="1" x14ac:dyDescent="0.2">
      <c r="A496" s="237"/>
      <c r="B496" s="227"/>
      <c r="C496" s="26"/>
    </row>
    <row r="497" spans="2:13" ht="15.75" customHeight="1" x14ac:dyDescent="0.2">
      <c r="J497" s="107"/>
      <c r="K497" s="94"/>
      <c r="L497" s="94"/>
      <c r="M497" s="94"/>
    </row>
    <row r="498" spans="2:13" ht="15.75" customHeight="1" x14ac:dyDescent="0.2">
      <c r="B498" s="184"/>
      <c r="J498" s="94"/>
      <c r="K498" s="94"/>
      <c r="L498" s="94"/>
      <c r="M498" s="94"/>
    </row>
    <row r="499" spans="2:13" ht="19.5" customHeight="1" x14ac:dyDescent="0.2">
      <c r="B499" s="612"/>
      <c r="C499" s="612"/>
      <c r="D499" s="612"/>
      <c r="E499" s="612"/>
      <c r="F499" s="612"/>
      <c r="G499" s="612"/>
      <c r="H499" s="612"/>
      <c r="J499" s="94"/>
      <c r="K499" s="94"/>
      <c r="L499" s="94"/>
      <c r="M499" s="94"/>
    </row>
    <row r="500" spans="2:13" ht="15.75" customHeight="1" x14ac:dyDescent="0.2">
      <c r="B500" s="184"/>
      <c r="J500" s="94"/>
      <c r="K500" s="94"/>
      <c r="L500" s="94"/>
      <c r="M500" s="94"/>
    </row>
  </sheetData>
  <customSheetViews>
    <customSheetView guid="{16158AC0-BDC0-11D7-BABA-AD30328A5118}" showPageBreaks="1" showGridLines="0" printArea="1" showRuler="0" topLeftCell="A216">
      <selection activeCell="B227" sqref="B227"/>
      <rowBreaks count="5" manualBreakCount="5">
        <brk id="54" max="16383" man="1"/>
        <brk id="110" max="9" man="1"/>
        <brk id="117" max="16383" man="1"/>
        <brk id="173" max="16383" man="1"/>
        <brk id="229" max="16383" man="1"/>
      </rowBreaks>
      <pageMargins left="0.25" right="0.25" top="0.5" bottom="0.5" header="0.511811023622047" footer="0.511811023622047"/>
      <pageSetup paperSize="9" orientation="portrait" verticalDpi="0" r:id="rId1"/>
      <headerFooter alignWithMargins="0"/>
    </customSheetView>
    <customSheetView guid="{2F1C2500-C7E9-11D7-BAB9-00065B3658C6}" showGridLines="0" showRuler="0" topLeftCell="A195">
      <selection activeCell="B227" sqref="B227"/>
      <rowBreaks count="5" manualBreakCount="5">
        <brk id="54" max="16383" man="1"/>
        <brk id="110" max="9" man="1"/>
        <brk id="117" max="16383" man="1"/>
        <brk id="173" max="16383" man="1"/>
        <brk id="229" max="16383" man="1"/>
      </rowBreaks>
      <pageMargins left="0.25" right="0.25" top="0.5" bottom="0.5" header="0.511811023622047" footer="0.511811023622047"/>
      <pageSetup paperSize="9" orientation="portrait" verticalDpi="0" r:id="rId2"/>
      <headerFooter alignWithMargins="0"/>
    </customSheetView>
  </customSheetViews>
  <mergeCells count="20">
    <mergeCell ref="K17:M17"/>
    <mergeCell ref="B92:I92"/>
    <mergeCell ref="B452:G452"/>
    <mergeCell ref="B395:G396"/>
    <mergeCell ref="B323:H324"/>
    <mergeCell ref="B339:H339"/>
    <mergeCell ref="G349:G352"/>
    <mergeCell ref="B184:H184"/>
    <mergeCell ref="B320:H320"/>
    <mergeCell ref="B366:H366"/>
    <mergeCell ref="B367:H367"/>
    <mergeCell ref="G341:G344"/>
    <mergeCell ref="B446:I447"/>
    <mergeCell ref="B499:H499"/>
    <mergeCell ref="B368:I368"/>
    <mergeCell ref="B378:G379"/>
    <mergeCell ref="B464:H464"/>
    <mergeCell ref="B370:H370"/>
    <mergeCell ref="B420:H422"/>
    <mergeCell ref="B434:I435"/>
  </mergeCells>
  <phoneticPr fontId="16" type="noConversion"/>
  <pageMargins left="0.39370078740157483" right="0.39370078740157483" top="0.74803149606299213" bottom="0.74803149606299213" header="0.31496062992125984" footer="0.31496062992125984"/>
  <pageSetup paperSize="9" scale="66" orientation="portrait" r:id="rId3"/>
  <headerFooter>
    <oddFooter>&amp;C&amp;P</oddFooter>
  </headerFooter>
  <rowBreaks count="8" manualBreakCount="8">
    <brk id="54" max="8" man="1"/>
    <brk id="111" max="8" man="1"/>
    <brk id="170" max="8" man="1"/>
    <brk id="225" max="8" man="1"/>
    <brk id="291" max="8" man="1"/>
    <brk id="363" max="8" man="1"/>
    <brk id="417" max="8" man="1"/>
    <brk id="462" max="8" man="1"/>
  </rowBreaks>
  <ignoredErrors>
    <ignoredError sqref="F402:G402"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H122"/>
  <sheetViews>
    <sheetView topLeftCell="A53" workbookViewId="0">
      <selection activeCell="C77" sqref="C77"/>
    </sheetView>
  </sheetViews>
  <sheetFormatPr defaultRowHeight="12.75" x14ac:dyDescent="0.2"/>
  <cols>
    <col min="1" max="1" width="12.5703125" customWidth="1"/>
    <col min="2" max="2" width="31.28515625" customWidth="1"/>
    <col min="3" max="5" width="10.7109375" style="481" bestFit="1" customWidth="1"/>
  </cols>
  <sheetData>
    <row r="1" spans="1:8" s="466" customFormat="1" x14ac:dyDescent="0.2"/>
    <row r="2" spans="1:8" s="466" customFormat="1" ht="22.5" x14ac:dyDescent="0.3">
      <c r="A2" s="467" t="s">
        <v>354</v>
      </c>
      <c r="B2" s="467"/>
      <c r="F2" s="468" t="s">
        <v>85</v>
      </c>
      <c r="G2" s="468"/>
    </row>
    <row r="3" spans="1:8" s="466" customFormat="1" ht="22.5" x14ac:dyDescent="0.3">
      <c r="A3" s="625" t="s">
        <v>86</v>
      </c>
      <c r="B3" s="625"/>
      <c r="C3" s="625"/>
      <c r="D3" s="625"/>
      <c r="E3" s="625"/>
      <c r="F3" s="625"/>
      <c r="G3" s="469"/>
      <c r="H3" s="469"/>
    </row>
    <row r="4" spans="1:8" s="466" customFormat="1" ht="9" customHeight="1" x14ac:dyDescent="0.3">
      <c r="H4" s="468"/>
    </row>
    <row r="5" spans="1:8" x14ac:dyDescent="0.2">
      <c r="A5" s="1"/>
      <c r="B5" s="1"/>
      <c r="C5" s="87">
        <v>2017</v>
      </c>
      <c r="D5" s="70">
        <v>2017</v>
      </c>
      <c r="E5" s="87">
        <v>2016</v>
      </c>
    </row>
    <row r="6" spans="1:8" x14ac:dyDescent="0.2">
      <c r="A6" s="1"/>
      <c r="B6" s="1"/>
      <c r="C6" s="87" t="s">
        <v>814</v>
      </c>
      <c r="D6" s="70" t="s">
        <v>815</v>
      </c>
      <c r="E6" s="87" t="s">
        <v>814</v>
      </c>
    </row>
    <row r="7" spans="1:8" x14ac:dyDescent="0.2">
      <c r="A7" s="1" t="s">
        <v>87</v>
      </c>
      <c r="D7" s="483"/>
    </row>
    <row r="8" spans="1:8" x14ac:dyDescent="0.2">
      <c r="A8" t="s">
        <v>88</v>
      </c>
      <c r="D8" s="483"/>
    </row>
    <row r="9" spans="1:8" x14ac:dyDescent="0.2">
      <c r="A9" s="470" t="s">
        <v>89</v>
      </c>
      <c r="C9" s="471"/>
      <c r="D9" s="475"/>
      <c r="E9" s="471"/>
    </row>
    <row r="10" spans="1:8" x14ac:dyDescent="0.2">
      <c r="A10" s="470"/>
      <c r="B10" t="s">
        <v>421</v>
      </c>
      <c r="C10" s="471">
        <f>+'Codes allocation'!D6</f>
        <v>1039884.14</v>
      </c>
      <c r="D10" s="475">
        <f>+'Codes allocation'!F6</f>
        <v>823248</v>
      </c>
      <c r="E10" s="475">
        <f>+'Codes allocation'!H6</f>
        <v>1122988.9100000001</v>
      </c>
      <c r="F10" s="529"/>
    </row>
    <row r="11" spans="1:8" x14ac:dyDescent="0.2">
      <c r="A11" t="s">
        <v>90</v>
      </c>
      <c r="B11" t="s">
        <v>432</v>
      </c>
      <c r="C11" s="471">
        <f>+'Codes allocation'!D8+'Codes allocation'!D11+'Codes allocation'!D13+'Codes allocation'!D21+'Codes allocation'!D23+'Codes allocation'!D25+'Codes allocation'!D28+'Codes allocation'!D29+'Codes allocation'!D40</f>
        <v>6524695.8200000003</v>
      </c>
      <c r="D11" s="475">
        <f>+'Codes allocation'!F8+'Codes allocation'!F11+'Codes allocation'!F13+'Codes allocation'!F21+'Codes allocation'!F23+'Codes allocation'!F25+'Codes allocation'!F29+'Codes allocation'!F40</f>
        <v>6413269</v>
      </c>
      <c r="E11" s="475">
        <f>+'Codes allocation'!H8+'Codes allocation'!H11+'Codes allocation'!H13+'Codes allocation'!H21+'Codes allocation'!H23+'Codes allocation'!H25+'Codes allocation'!H29+'Codes allocation'!H40</f>
        <v>6371222.8999999994</v>
      </c>
      <c r="F11" s="529"/>
    </row>
    <row r="12" spans="1:8" x14ac:dyDescent="0.2">
      <c r="A12" t="s">
        <v>91</v>
      </c>
      <c r="B12" t="s">
        <v>92</v>
      </c>
      <c r="C12" s="471"/>
      <c r="D12" s="475"/>
      <c r="E12" s="471"/>
      <c r="G12" t="s">
        <v>93</v>
      </c>
    </row>
    <row r="13" spans="1:8" x14ac:dyDescent="0.2">
      <c r="A13" t="s">
        <v>91</v>
      </c>
      <c r="B13" t="s">
        <v>94</v>
      </c>
      <c r="C13" s="471"/>
      <c r="D13" s="475"/>
      <c r="E13" s="471"/>
      <c r="G13" t="s">
        <v>95</v>
      </c>
    </row>
    <row r="14" spans="1:8" x14ac:dyDescent="0.2">
      <c r="A14" t="s">
        <v>91</v>
      </c>
      <c r="B14" t="s">
        <v>96</v>
      </c>
      <c r="C14" s="471">
        <f>-'Codes allocation'!C37</f>
        <v>-14720</v>
      </c>
      <c r="D14" s="475"/>
      <c r="E14" s="475">
        <v>-37120</v>
      </c>
      <c r="F14" s="529"/>
      <c r="G14" t="s">
        <v>97</v>
      </c>
    </row>
    <row r="15" spans="1:8" x14ac:dyDescent="0.2">
      <c r="A15" t="s">
        <v>90</v>
      </c>
      <c r="B15" t="s">
        <v>98</v>
      </c>
      <c r="C15" s="471">
        <v>288850</v>
      </c>
      <c r="D15" s="475"/>
      <c r="E15" s="471">
        <v>259659</v>
      </c>
      <c r="F15" s="529"/>
    </row>
    <row r="16" spans="1:8" x14ac:dyDescent="0.2">
      <c r="A16" t="s">
        <v>90</v>
      </c>
      <c r="B16" t="s">
        <v>99</v>
      </c>
      <c r="C16" s="472">
        <f>-E17</f>
        <v>51601</v>
      </c>
      <c r="D16" s="475"/>
      <c r="E16" s="472">
        <v>0</v>
      </c>
      <c r="F16" s="529"/>
      <c r="G16" t="s">
        <v>405</v>
      </c>
    </row>
    <row r="17" spans="1:7" ht="13.5" thickBot="1" x14ac:dyDescent="0.25">
      <c r="A17" t="s">
        <v>91</v>
      </c>
      <c r="B17" t="s">
        <v>100</v>
      </c>
      <c r="C17" s="475">
        <f>-Notes!F192</f>
        <v>-48615.98</v>
      </c>
      <c r="D17" s="473"/>
      <c r="E17" s="473">
        <f>-51601</f>
        <v>-51601</v>
      </c>
      <c r="F17" s="529"/>
      <c r="G17" t="s">
        <v>405</v>
      </c>
    </row>
    <row r="18" spans="1:7" x14ac:dyDescent="0.2">
      <c r="A18" s="470" t="s">
        <v>101</v>
      </c>
      <c r="B18" t="s">
        <v>322</v>
      </c>
      <c r="C18" s="475">
        <f>SUM(C10:C17)</f>
        <v>7841694.9799999995</v>
      </c>
      <c r="D18" s="475">
        <f>SUM(D10:D17)</f>
        <v>7236517</v>
      </c>
      <c r="E18" s="471">
        <f>SUM(E10:E17)</f>
        <v>7665149.8099999996</v>
      </c>
    </row>
    <row r="19" spans="1:7" ht="9" customHeight="1" x14ac:dyDescent="0.2">
      <c r="C19" s="471"/>
      <c r="D19" s="475"/>
      <c r="E19" s="471"/>
    </row>
    <row r="20" spans="1:7" x14ac:dyDescent="0.2">
      <c r="A20" s="470" t="s">
        <v>102</v>
      </c>
      <c r="C20" s="471"/>
      <c r="D20" s="475"/>
      <c r="E20" s="471"/>
    </row>
    <row r="21" spans="1:7" x14ac:dyDescent="0.2">
      <c r="A21" t="s">
        <v>90</v>
      </c>
      <c r="B21" t="s">
        <v>103</v>
      </c>
      <c r="C21" s="471">
        <f>+'Comprehensive Income'!C11</f>
        <v>292319.59999999998</v>
      </c>
      <c r="D21" s="475">
        <f>+'Comprehensive Income'!D11</f>
        <v>197406</v>
      </c>
      <c r="E21" s="471">
        <f>+'Comprehensive Income'!E11</f>
        <v>234527.07</v>
      </c>
    </row>
    <row r="22" spans="1:7" x14ac:dyDescent="0.2">
      <c r="A22" t="s">
        <v>91</v>
      </c>
      <c r="B22" t="s">
        <v>104</v>
      </c>
      <c r="C22" s="471">
        <f>-E23</f>
        <v>-25416</v>
      </c>
      <c r="D22" s="475">
        <v>-16856</v>
      </c>
      <c r="E22" s="471">
        <v>-62592</v>
      </c>
      <c r="F22" s="529"/>
    </row>
    <row r="23" spans="1:7" x14ac:dyDescent="0.2">
      <c r="A23" t="s">
        <v>90</v>
      </c>
      <c r="B23" t="s">
        <v>105</v>
      </c>
      <c r="C23" s="471">
        <f>+'Financial Position'!C21</f>
        <v>30865.93</v>
      </c>
      <c r="D23" s="475">
        <f>+E23</f>
        <v>25416</v>
      </c>
      <c r="E23" s="471">
        <v>25416</v>
      </c>
      <c r="F23" s="529"/>
    </row>
    <row r="24" spans="1:7" x14ac:dyDescent="0.2">
      <c r="A24" t="s">
        <v>90</v>
      </c>
      <c r="B24" t="s">
        <v>120</v>
      </c>
      <c r="C24" s="471">
        <v>0</v>
      </c>
      <c r="D24" s="475">
        <v>0</v>
      </c>
      <c r="E24" s="475">
        <v>0</v>
      </c>
      <c r="F24" s="529"/>
      <c r="G24" s="8" t="s">
        <v>406</v>
      </c>
    </row>
    <row r="25" spans="1:7" x14ac:dyDescent="0.2">
      <c r="A25" t="s">
        <v>90</v>
      </c>
      <c r="B25" t="s">
        <v>106</v>
      </c>
      <c r="C25" s="475">
        <f>-E26</f>
        <v>44385</v>
      </c>
      <c r="D25" s="475">
        <v>70171</v>
      </c>
      <c r="E25" s="471">
        <v>41869</v>
      </c>
      <c r="F25" s="529"/>
    </row>
    <row r="26" spans="1:7" ht="13.5" thickBot="1" x14ac:dyDescent="0.25">
      <c r="A26" t="s">
        <v>91</v>
      </c>
      <c r="B26" t="s">
        <v>107</v>
      </c>
      <c r="C26" s="474">
        <f>-Notes!F191</f>
        <v>-10516.269999999997</v>
      </c>
      <c r="D26" s="484">
        <f>+E26</f>
        <v>-44385</v>
      </c>
      <c r="E26" s="474">
        <v>-44385</v>
      </c>
      <c r="F26" s="529"/>
      <c r="G26" t="s">
        <v>167</v>
      </c>
    </row>
    <row r="27" spans="1:7" x14ac:dyDescent="0.2">
      <c r="A27" s="470" t="s">
        <v>101</v>
      </c>
      <c r="B27" t="s">
        <v>108</v>
      </c>
      <c r="C27" s="471">
        <f>SUM(C21:C26)</f>
        <v>331638.25999999995</v>
      </c>
      <c r="D27" s="475">
        <f>SUM(D21:D26)</f>
        <v>231752</v>
      </c>
      <c r="E27" s="471">
        <f>SUM(E21:E26)</f>
        <v>194835.07</v>
      </c>
    </row>
    <row r="28" spans="1:7" ht="9" customHeight="1" x14ac:dyDescent="0.2">
      <c r="C28" s="471"/>
      <c r="D28" s="475"/>
      <c r="E28" s="471"/>
    </row>
    <row r="29" spans="1:7" x14ac:dyDescent="0.2">
      <c r="A29" s="470" t="s">
        <v>109</v>
      </c>
      <c r="C29" s="471"/>
      <c r="D29" s="475"/>
      <c r="E29" s="471"/>
    </row>
    <row r="30" spans="1:7" x14ac:dyDescent="0.2">
      <c r="B30" t="s">
        <v>437</v>
      </c>
      <c r="C30" s="471">
        <f>+'Comprehensive Income'!C12</f>
        <v>276158.87</v>
      </c>
      <c r="D30" s="475">
        <f>+'Comprehensive Income'!D12</f>
        <v>140000</v>
      </c>
      <c r="E30" s="471">
        <f>+'Comprehensive Income'!E12</f>
        <v>229862.37</v>
      </c>
    </row>
    <row r="31" spans="1:7" x14ac:dyDescent="0.2">
      <c r="A31" t="s">
        <v>90</v>
      </c>
      <c r="B31" t="s">
        <v>99</v>
      </c>
      <c r="C31" s="471">
        <f>-E32</f>
        <v>35443</v>
      </c>
      <c r="D31" s="475">
        <f>-E32</f>
        <v>35443</v>
      </c>
      <c r="E31" s="471">
        <v>27776</v>
      </c>
      <c r="F31" s="529"/>
    </row>
    <row r="32" spans="1:7" ht="13.5" thickBot="1" x14ac:dyDescent="0.25">
      <c r="A32" t="s">
        <v>91</v>
      </c>
      <c r="B32" t="s">
        <v>100</v>
      </c>
      <c r="C32" s="474">
        <f>-Notes!F193</f>
        <v>-48777.18</v>
      </c>
      <c r="D32" s="484">
        <f>-D31</f>
        <v>-35443</v>
      </c>
      <c r="E32" s="474">
        <v>-35443</v>
      </c>
      <c r="F32" s="529"/>
    </row>
    <row r="33" spans="1:5" x14ac:dyDescent="0.2">
      <c r="A33" s="470" t="s">
        <v>101</v>
      </c>
      <c r="B33" t="s">
        <v>437</v>
      </c>
      <c r="C33" s="471">
        <f>SUM(C30:C32)</f>
        <v>262824.69</v>
      </c>
      <c r="D33" s="475">
        <f>SUM(D30:D32)</f>
        <v>140000</v>
      </c>
      <c r="E33" s="471">
        <f>SUM(E30:E32)</f>
        <v>222195.37</v>
      </c>
    </row>
    <row r="34" spans="1:5" ht="9" customHeight="1" x14ac:dyDescent="0.2">
      <c r="C34" s="471"/>
      <c r="D34" s="475"/>
      <c r="E34" s="471"/>
    </row>
    <row r="35" spans="1:5" hidden="1" x14ac:dyDescent="0.2">
      <c r="A35" s="470" t="s">
        <v>110</v>
      </c>
      <c r="C35" s="471"/>
      <c r="D35" s="475"/>
      <c r="E35" s="471"/>
    </row>
    <row r="36" spans="1:5" hidden="1" x14ac:dyDescent="0.2">
      <c r="A36" t="s">
        <v>90</v>
      </c>
      <c r="B36" t="s">
        <v>111</v>
      </c>
      <c r="C36" s="471"/>
      <c r="D36" s="475"/>
      <c r="E36" s="471"/>
    </row>
    <row r="37" spans="1:5" hidden="1" x14ac:dyDescent="0.2">
      <c r="A37" t="s">
        <v>91</v>
      </c>
      <c r="B37" t="s">
        <v>104</v>
      </c>
      <c r="C37" s="471"/>
      <c r="D37" s="475"/>
      <c r="E37" s="471"/>
    </row>
    <row r="38" spans="1:5" ht="13.5" hidden="1" thickBot="1" x14ac:dyDescent="0.25">
      <c r="A38" t="s">
        <v>90</v>
      </c>
      <c r="B38" t="s">
        <v>105</v>
      </c>
      <c r="C38" s="474"/>
      <c r="D38" s="484"/>
      <c r="E38" s="474"/>
    </row>
    <row r="39" spans="1:5" hidden="1" x14ac:dyDescent="0.2">
      <c r="A39" s="470" t="s">
        <v>101</v>
      </c>
      <c r="B39" t="s">
        <v>389</v>
      </c>
      <c r="C39" s="471">
        <f>SUM(C36:C38)</f>
        <v>0</v>
      </c>
      <c r="D39" s="475">
        <f>SUM(D36:D38)</f>
        <v>0</v>
      </c>
      <c r="E39" s="471">
        <f>SUM(E36:E38)</f>
        <v>0</v>
      </c>
    </row>
    <row r="40" spans="1:5" ht="9" hidden="1" customHeight="1" x14ac:dyDescent="0.2">
      <c r="C40" s="471"/>
      <c r="D40" s="475"/>
      <c r="E40" s="471"/>
    </row>
    <row r="41" spans="1:5" hidden="1" x14ac:dyDescent="0.2">
      <c r="A41" s="470" t="s">
        <v>112</v>
      </c>
      <c r="C41" s="471"/>
      <c r="D41" s="475"/>
      <c r="E41" s="471"/>
    </row>
    <row r="42" spans="1:5" hidden="1" x14ac:dyDescent="0.2">
      <c r="B42" t="s">
        <v>113</v>
      </c>
      <c r="C42" s="471"/>
      <c r="D42" s="475"/>
      <c r="E42" s="471">
        <v>0</v>
      </c>
    </row>
    <row r="43" spans="1:5" hidden="1" x14ac:dyDescent="0.2">
      <c r="A43" t="s">
        <v>91</v>
      </c>
      <c r="B43" t="s">
        <v>104</v>
      </c>
      <c r="C43" s="471"/>
      <c r="D43" s="475"/>
      <c r="E43" s="471">
        <v>0</v>
      </c>
    </row>
    <row r="44" spans="1:5" ht="13.5" hidden="1" thickBot="1" x14ac:dyDescent="0.25">
      <c r="A44" t="s">
        <v>90</v>
      </c>
      <c r="B44" t="s">
        <v>105</v>
      </c>
      <c r="C44" s="474"/>
      <c r="D44" s="484"/>
      <c r="E44" s="474">
        <v>0</v>
      </c>
    </row>
    <row r="45" spans="1:5" hidden="1" x14ac:dyDescent="0.2">
      <c r="B45" t="s">
        <v>113</v>
      </c>
      <c r="C45" s="471">
        <f>SUM(C42:C44)</f>
        <v>0</v>
      </c>
      <c r="D45" s="475">
        <f>SUM(D42:D44)</f>
        <v>0</v>
      </c>
      <c r="E45" s="471">
        <f>SUM(E42:E44)</f>
        <v>0</v>
      </c>
    </row>
    <row r="46" spans="1:5" ht="9" hidden="1" customHeight="1" x14ac:dyDescent="0.2">
      <c r="C46" s="471"/>
      <c r="D46" s="475"/>
      <c r="E46" s="471"/>
    </row>
    <row r="47" spans="1:5" ht="13.5" thickBot="1" x14ac:dyDescent="0.25">
      <c r="A47" t="s">
        <v>114</v>
      </c>
      <c r="C47" s="476">
        <f>SUM(C18+C27+C33+C39+C45)</f>
        <v>8436157.9299999997</v>
      </c>
      <c r="D47" s="485">
        <f>SUM(D18+D27+D33+D39+D45)</f>
        <v>7608269</v>
      </c>
      <c r="E47" s="476">
        <f>SUM(E18+E27+E33+E39+E45)</f>
        <v>8082180.25</v>
      </c>
    </row>
    <row r="48" spans="1:5" ht="9" customHeight="1" thickTop="1" x14ac:dyDescent="0.2">
      <c r="C48" s="471"/>
      <c r="D48" s="475"/>
      <c r="E48" s="471"/>
    </row>
    <row r="49" spans="1:7" x14ac:dyDescent="0.2">
      <c r="A49" s="1" t="s">
        <v>115</v>
      </c>
      <c r="C49" s="471"/>
      <c r="D49" s="475"/>
      <c r="E49" s="471"/>
    </row>
    <row r="50" spans="1:7" x14ac:dyDescent="0.2">
      <c r="A50" s="470" t="s">
        <v>116</v>
      </c>
      <c r="C50" s="471">
        <f>+'Comprehensive Income'!C28</f>
        <v>17854807.089999996</v>
      </c>
      <c r="D50" s="475">
        <f>+'Comprehensive Income'!D28</f>
        <v>18109212</v>
      </c>
      <c r="E50" s="471">
        <v>17275445</v>
      </c>
      <c r="F50" s="529"/>
    </row>
    <row r="51" spans="1:7" x14ac:dyDescent="0.2">
      <c r="A51" t="s">
        <v>91</v>
      </c>
      <c r="B51" t="s">
        <v>821</v>
      </c>
      <c r="C51" s="471">
        <f>-'Comprehensive Income'!C26</f>
        <v>-395909.16</v>
      </c>
      <c r="D51" s="475">
        <f>-'Comprehensive Income'!D26</f>
        <v>-313000</v>
      </c>
      <c r="E51" s="471">
        <f>-'Comprehensive Income'!E26</f>
        <v>-372620</v>
      </c>
    </row>
    <row r="52" spans="1:7" x14ac:dyDescent="0.2">
      <c r="A52" t="s">
        <v>91</v>
      </c>
      <c r="B52" t="s">
        <v>117</v>
      </c>
      <c r="C52" s="475"/>
      <c r="D52" s="475"/>
      <c r="E52" s="475"/>
    </row>
    <row r="53" spans="1:7" x14ac:dyDescent="0.2">
      <c r="A53" t="s">
        <v>91</v>
      </c>
      <c r="B53" t="s">
        <v>121</v>
      </c>
      <c r="C53" s="475">
        <f>-'Payroll recon'!C67</f>
        <v>-12000244.15</v>
      </c>
      <c r="D53" s="475">
        <f>(-'Payroll recon'!H67)</f>
        <v>-12246296</v>
      </c>
      <c r="E53" s="475">
        <f>-'Payroll recon'!I67</f>
        <v>-12148095.76</v>
      </c>
    </row>
    <row r="54" spans="1:7" x14ac:dyDescent="0.2">
      <c r="A54" t="s">
        <v>91</v>
      </c>
      <c r="B54" t="s">
        <v>122</v>
      </c>
      <c r="C54" s="471"/>
      <c r="D54" s="475"/>
      <c r="E54" s="471"/>
    </row>
    <row r="55" spans="1:7" x14ac:dyDescent="0.2">
      <c r="A55" t="s">
        <v>91</v>
      </c>
      <c r="B55" t="s">
        <v>123</v>
      </c>
      <c r="C55" s="471">
        <f>-Notes!F82</f>
        <v>-22811</v>
      </c>
      <c r="D55" s="475">
        <v>0</v>
      </c>
      <c r="E55" s="471">
        <v>-15811</v>
      </c>
    </row>
    <row r="56" spans="1:7" x14ac:dyDescent="0.2">
      <c r="A56" t="s">
        <v>91</v>
      </c>
      <c r="B56" t="s">
        <v>124</v>
      </c>
      <c r="C56" s="471"/>
      <c r="D56" s="475"/>
      <c r="E56" s="471"/>
    </row>
    <row r="57" spans="1:7" x14ac:dyDescent="0.2">
      <c r="A57" t="s">
        <v>91</v>
      </c>
      <c r="B57" t="s">
        <v>125</v>
      </c>
      <c r="C57" s="471">
        <f>-Notes!F87</f>
        <v>-2386322</v>
      </c>
      <c r="D57" s="475">
        <f>-Notes!G87</f>
        <v>-1581057</v>
      </c>
      <c r="E57" s="471">
        <f>-Notes!H87</f>
        <v>-1696984</v>
      </c>
    </row>
    <row r="58" spans="1:7" x14ac:dyDescent="0.2">
      <c r="A58" t="s">
        <v>91</v>
      </c>
      <c r="B58" t="s">
        <v>119</v>
      </c>
      <c r="C58" s="471"/>
      <c r="D58" s="475"/>
      <c r="E58" s="471"/>
    </row>
    <row r="59" spans="1:7" x14ac:dyDescent="0.2">
      <c r="A59" t="s">
        <v>91</v>
      </c>
      <c r="B59" t="s">
        <v>92</v>
      </c>
      <c r="C59" s="471"/>
      <c r="D59" s="475"/>
      <c r="E59" s="471"/>
      <c r="G59" t="s">
        <v>93</v>
      </c>
    </row>
    <row r="60" spans="1:7" x14ac:dyDescent="0.2">
      <c r="A60" t="s">
        <v>91</v>
      </c>
      <c r="B60" t="s">
        <v>94</v>
      </c>
      <c r="C60" s="471"/>
      <c r="D60" s="475"/>
      <c r="E60" s="471"/>
      <c r="G60" t="s">
        <v>95</v>
      </c>
    </row>
    <row r="61" spans="1:7" x14ac:dyDescent="0.2">
      <c r="A61" t="s">
        <v>91</v>
      </c>
      <c r="B61" t="s">
        <v>96</v>
      </c>
      <c r="C61" s="471">
        <f>C14</f>
        <v>-14720</v>
      </c>
      <c r="D61" s="475">
        <f>D14</f>
        <v>0</v>
      </c>
      <c r="E61" s="471">
        <f>E14</f>
        <v>-37120</v>
      </c>
      <c r="G61" t="s">
        <v>97</v>
      </c>
    </row>
    <row r="62" spans="1:7" x14ac:dyDescent="0.2">
      <c r="A62" t="s">
        <v>91</v>
      </c>
      <c r="B62" t="s">
        <v>126</v>
      </c>
      <c r="C62" s="471">
        <f>-'Comprehensive Income'!C27</f>
        <v>-4440.8099999999995</v>
      </c>
      <c r="D62" s="475"/>
      <c r="E62" s="471">
        <v>-7200</v>
      </c>
      <c r="F62" s="529"/>
      <c r="G62" t="s">
        <v>127</v>
      </c>
    </row>
    <row r="63" spans="1:7" ht="14.25" x14ac:dyDescent="0.2">
      <c r="A63" t="s">
        <v>91</v>
      </c>
      <c r="B63" t="s">
        <v>128</v>
      </c>
      <c r="C63" s="261">
        <v>11528</v>
      </c>
      <c r="D63" s="176">
        <v>0</v>
      </c>
      <c r="E63" s="261">
        <v>3668</v>
      </c>
    </row>
    <row r="64" spans="1:7" x14ac:dyDescent="0.2">
      <c r="C64" s="471">
        <f>SUM(C50:C63)</f>
        <v>3041887.9699999955</v>
      </c>
      <c r="D64" s="475">
        <f>SUM(D50:D63)</f>
        <v>3968859</v>
      </c>
      <c r="E64" s="471">
        <f>SUM(E50:E63)</f>
        <v>3001282.24</v>
      </c>
    </row>
    <row r="65" spans="1:7" ht="9" customHeight="1" x14ac:dyDescent="0.2">
      <c r="C65" s="471"/>
      <c r="D65" s="475"/>
      <c r="E65" s="471"/>
    </row>
    <row r="66" spans="1:7" x14ac:dyDescent="0.2">
      <c r="A66" t="s">
        <v>90</v>
      </c>
      <c r="B66" t="s">
        <v>129</v>
      </c>
      <c r="C66" s="471">
        <f>-E67</f>
        <v>136030</v>
      </c>
      <c r="D66" s="471">
        <f>-E67</f>
        <v>136030</v>
      </c>
      <c r="E66" s="475">
        <v>125287</v>
      </c>
      <c r="F66" s="529"/>
      <c r="G66" t="s">
        <v>130</v>
      </c>
    </row>
    <row r="67" spans="1:7" x14ac:dyDescent="0.2">
      <c r="A67" t="s">
        <v>91</v>
      </c>
      <c r="B67" t="s">
        <v>131</v>
      </c>
      <c r="C67" s="471">
        <f>-Notes!F277-Notes!F278-3915</f>
        <v>-117808.32000000001</v>
      </c>
      <c r="D67" s="475">
        <f>+E67</f>
        <v>-136030</v>
      </c>
      <c r="E67" s="471">
        <v>-136030</v>
      </c>
      <c r="F67" s="529"/>
      <c r="G67" t="s">
        <v>132</v>
      </c>
    </row>
    <row r="68" spans="1:7" ht="13.5" thickBot="1" x14ac:dyDescent="0.25">
      <c r="B68" t="s">
        <v>133</v>
      </c>
      <c r="C68" s="474"/>
      <c r="D68" s="484"/>
      <c r="E68" s="474"/>
    </row>
    <row r="69" spans="1:7" x14ac:dyDescent="0.2">
      <c r="C69" s="471">
        <f>SUM(C66:C68)</f>
        <v>18221.679999999993</v>
      </c>
      <c r="D69" s="475">
        <f>SUM(D66:D68)</f>
        <v>0</v>
      </c>
      <c r="E69" s="471">
        <f>SUM(E66:E68)</f>
        <v>-10743</v>
      </c>
    </row>
    <row r="70" spans="1:7" ht="9" customHeight="1" x14ac:dyDescent="0.2">
      <c r="C70" s="471"/>
      <c r="D70" s="475"/>
      <c r="E70" s="471"/>
    </row>
    <row r="71" spans="1:7" x14ac:dyDescent="0.2">
      <c r="B71" t="s">
        <v>134</v>
      </c>
      <c r="C71" s="471">
        <f>+'Financial Position'!C14-'Financial Position'!E14</f>
        <v>5035.9600000000064</v>
      </c>
      <c r="D71" s="475">
        <v>11741</v>
      </c>
      <c r="E71" s="471">
        <v>11741</v>
      </c>
      <c r="F71" s="529"/>
    </row>
    <row r="72" spans="1:7" ht="13.5" thickBot="1" x14ac:dyDescent="0.25">
      <c r="B72" t="s">
        <v>135</v>
      </c>
      <c r="C72" s="474">
        <f>+'Financial Position'!C15-'Financial Position'!E15</f>
        <v>-392.19000000000005</v>
      </c>
      <c r="D72" s="484">
        <v>192</v>
      </c>
      <c r="E72" s="474">
        <v>-192</v>
      </c>
      <c r="F72" s="529"/>
    </row>
    <row r="73" spans="1:7" x14ac:dyDescent="0.2">
      <c r="C73" s="471">
        <f>SUM(C71:C72)</f>
        <v>4643.7700000000059</v>
      </c>
      <c r="D73" s="475">
        <f>SUM(D71:D72)</f>
        <v>11933</v>
      </c>
      <c r="E73" s="471">
        <f>SUM(E71:E72)</f>
        <v>11549</v>
      </c>
    </row>
    <row r="74" spans="1:7" ht="9" customHeight="1" x14ac:dyDescent="0.2">
      <c r="C74" s="471"/>
      <c r="D74" s="475"/>
      <c r="E74" s="471"/>
    </row>
    <row r="75" spans="1:7" ht="13.5" thickBot="1" x14ac:dyDescent="0.25">
      <c r="A75" t="s">
        <v>136</v>
      </c>
      <c r="C75" s="476">
        <f>SUM(C64+C69+C73)</f>
        <v>3064753.4199999957</v>
      </c>
      <c r="D75" s="485">
        <f>SUM(D64+D69+D73)</f>
        <v>3980792</v>
      </c>
      <c r="E75" s="476">
        <f>SUM(E64+E69+E73)</f>
        <v>3002088.24</v>
      </c>
    </row>
    <row r="76" spans="1:7" ht="9" customHeight="1" thickTop="1" x14ac:dyDescent="0.2">
      <c r="C76" s="471"/>
      <c r="D76" s="475"/>
      <c r="E76" s="471"/>
    </row>
    <row r="77" spans="1:7" x14ac:dyDescent="0.2">
      <c r="A77" t="s">
        <v>137</v>
      </c>
      <c r="C77" s="475">
        <f>+'Financial Position'!C13-'Financial Position'!E13</f>
        <v>-37851.53</v>
      </c>
      <c r="D77" s="475">
        <f>+'Financial Position'!D13-'Financial Position'!F13</f>
        <v>75759</v>
      </c>
      <c r="E77" s="475">
        <v>5398</v>
      </c>
      <c r="F77" t="s">
        <v>118</v>
      </c>
      <c r="G77" s="529"/>
    </row>
    <row r="78" spans="1:7" x14ac:dyDescent="0.2">
      <c r="A78" t="s">
        <v>138</v>
      </c>
      <c r="C78" s="475">
        <f>+'Comprehensive Income'!C21</f>
        <v>11528.19</v>
      </c>
      <c r="D78" s="475"/>
      <c r="E78" s="475">
        <v>3668</v>
      </c>
      <c r="G78" s="529"/>
    </row>
    <row r="79" spans="1:7" ht="9" customHeight="1" x14ac:dyDescent="0.2">
      <c r="C79" s="471"/>
      <c r="D79" s="475"/>
      <c r="E79" s="471"/>
    </row>
    <row r="80" spans="1:7" x14ac:dyDescent="0.2">
      <c r="A80" s="470" t="s">
        <v>139</v>
      </c>
      <c r="C80" s="471"/>
      <c r="D80" s="475"/>
      <c r="E80" s="471"/>
    </row>
    <row r="81" spans="1:7" x14ac:dyDescent="0.2">
      <c r="B81" t="s">
        <v>140</v>
      </c>
      <c r="C81" s="471">
        <f>-C53</f>
        <v>12000244.15</v>
      </c>
      <c r="D81" s="471">
        <f>-D53</f>
        <v>12246296</v>
      </c>
      <c r="E81" s="471">
        <v>12233148</v>
      </c>
      <c r="F81" s="529"/>
    </row>
    <row r="82" spans="1:7" x14ac:dyDescent="0.2">
      <c r="A82" t="s">
        <v>91</v>
      </c>
      <c r="B82" t="s">
        <v>141</v>
      </c>
      <c r="C82" s="471">
        <f>'Payroll recon'!C4</f>
        <v>-8755013.5600000005</v>
      </c>
      <c r="D82" s="475">
        <f>-'Payroll recon'!H66</f>
        <v>-8370000</v>
      </c>
      <c r="E82" s="471">
        <f>-'Payroll recon'!I66</f>
        <v>-8632083.6099999994</v>
      </c>
      <c r="G82" t="s">
        <v>280</v>
      </c>
    </row>
    <row r="83" spans="1:7" x14ac:dyDescent="0.2">
      <c r="A83" t="s">
        <v>90</v>
      </c>
      <c r="B83" t="s">
        <v>129</v>
      </c>
      <c r="C83" s="471">
        <f>-E84</f>
        <v>100878</v>
      </c>
      <c r="D83" s="475">
        <v>37990</v>
      </c>
      <c r="E83" s="471">
        <v>37990</v>
      </c>
      <c r="F83" s="529"/>
    </row>
    <row r="84" spans="1:7" ht="13.5" thickBot="1" x14ac:dyDescent="0.25">
      <c r="A84" t="s">
        <v>91</v>
      </c>
      <c r="B84" t="s">
        <v>131</v>
      </c>
      <c r="C84" s="474">
        <f>-Notes!F281</f>
        <v>-126143.21</v>
      </c>
      <c r="D84" s="484">
        <f>+E84</f>
        <v>-100878</v>
      </c>
      <c r="E84" s="474">
        <v>-100878</v>
      </c>
      <c r="F84" s="529"/>
    </row>
    <row r="85" spans="1:7" x14ac:dyDescent="0.2">
      <c r="A85" s="470" t="s">
        <v>101</v>
      </c>
      <c r="B85" t="s">
        <v>142</v>
      </c>
      <c r="C85" s="471">
        <f>SUM(C81:C84)</f>
        <v>3219965.38</v>
      </c>
      <c r="D85" s="475">
        <f>SUM(D81:D84)</f>
        <v>3813408</v>
      </c>
      <c r="E85" s="471">
        <f>SUM(E81:E84)</f>
        <v>3538176.3900000006</v>
      </c>
    </row>
    <row r="86" spans="1:7" ht="9" customHeight="1" x14ac:dyDescent="0.2">
      <c r="C86" s="471"/>
      <c r="D86" s="475"/>
      <c r="E86" s="471"/>
    </row>
    <row r="87" spans="1:7" x14ac:dyDescent="0.2">
      <c r="A87" s="470" t="s">
        <v>143</v>
      </c>
      <c r="C87" s="471"/>
      <c r="D87" s="475"/>
      <c r="E87" s="471"/>
    </row>
    <row r="88" spans="1:7" x14ac:dyDescent="0.2">
      <c r="A88" t="s">
        <v>144</v>
      </c>
      <c r="B88" t="s">
        <v>145</v>
      </c>
      <c r="C88" s="471"/>
      <c r="D88" s="475"/>
      <c r="E88" s="471"/>
    </row>
    <row r="89" spans="1:7" x14ac:dyDescent="0.2">
      <c r="B89" t="s">
        <v>146</v>
      </c>
      <c r="C89" s="471"/>
      <c r="D89" s="475"/>
      <c r="E89" s="471"/>
    </row>
    <row r="90" spans="1:7" x14ac:dyDescent="0.2">
      <c r="B90" t="s">
        <v>147</v>
      </c>
      <c r="C90" s="471"/>
      <c r="D90" s="475"/>
      <c r="E90" s="471"/>
    </row>
    <row r="91" spans="1:7" ht="13.5" thickBot="1" x14ac:dyDescent="0.25">
      <c r="B91" t="s">
        <v>148</v>
      </c>
      <c r="C91" s="474"/>
      <c r="D91" s="484"/>
      <c r="E91" s="474"/>
    </row>
    <row r="92" spans="1:7" x14ac:dyDescent="0.2">
      <c r="C92" s="471">
        <f>SUM(C88:C91)</f>
        <v>0</v>
      </c>
      <c r="D92" s="471">
        <f>SUM(D88:D91)</f>
        <v>0</v>
      </c>
      <c r="E92" s="471">
        <f>SUM(E88:E91)</f>
        <v>0</v>
      </c>
    </row>
    <row r="93" spans="1:7" ht="9" customHeight="1" x14ac:dyDescent="0.2">
      <c r="C93" s="471"/>
      <c r="D93" s="475"/>
      <c r="E93" s="471"/>
    </row>
    <row r="94" spans="1:7" ht="13.5" thickBot="1" x14ac:dyDescent="0.25">
      <c r="A94" s="1" t="s">
        <v>149</v>
      </c>
      <c r="C94" s="476">
        <f>SUM(C75+C77+C78+C85+C92)</f>
        <v>6258395.4599999953</v>
      </c>
      <c r="D94" s="485">
        <f>SUM(D75+D77+D78+D85+D92)</f>
        <v>7869959</v>
      </c>
      <c r="E94" s="476">
        <f>SUM(E75+E77+E78+E85+E92)</f>
        <v>6549330.6300000008</v>
      </c>
    </row>
    <row r="95" spans="1:7" ht="9" customHeight="1" thickTop="1" x14ac:dyDescent="0.2">
      <c r="C95" s="471"/>
      <c r="D95" s="475"/>
      <c r="E95" s="471"/>
    </row>
    <row r="96" spans="1:7" ht="13.5" thickBot="1" x14ac:dyDescent="0.25">
      <c r="A96" s="1" t="s">
        <v>150</v>
      </c>
      <c r="C96" s="476">
        <f>SUM(C47-C94)</f>
        <v>2177762.4700000044</v>
      </c>
      <c r="D96" s="485">
        <f>SUM(D47-D94)</f>
        <v>-261690</v>
      </c>
      <c r="E96" s="476">
        <f>SUM(E47-E94)</f>
        <v>1532849.6199999992</v>
      </c>
    </row>
    <row r="97" spans="1:7" ht="9" customHeight="1" thickTop="1" x14ac:dyDescent="0.2">
      <c r="C97" s="471"/>
      <c r="D97" s="475"/>
      <c r="E97" s="471"/>
    </row>
    <row r="98" spans="1:7" x14ac:dyDescent="0.2">
      <c r="A98" s="1" t="s">
        <v>151</v>
      </c>
      <c r="C98" s="471"/>
      <c r="D98" s="475"/>
      <c r="E98" s="471"/>
    </row>
    <row r="99" spans="1:7" x14ac:dyDescent="0.2">
      <c r="A99" t="s">
        <v>90</v>
      </c>
      <c r="B99" s="477" t="s">
        <v>3</v>
      </c>
      <c r="C99" s="471"/>
      <c r="D99" s="475"/>
      <c r="E99" s="471"/>
    </row>
    <row r="100" spans="1:7" x14ac:dyDescent="0.2">
      <c r="A100" s="25" t="s">
        <v>91</v>
      </c>
      <c r="B100" s="477" t="s">
        <v>4</v>
      </c>
      <c r="C100" s="475">
        <f>-Notes!E235+'Financial Position'!E29</f>
        <v>-579442</v>
      </c>
      <c r="D100" s="475">
        <f>-'Codes allocation'!F1029+112344</f>
        <v>-907348</v>
      </c>
      <c r="E100" s="471">
        <v>-587299</v>
      </c>
      <c r="F100" s="529"/>
    </row>
    <row r="101" spans="1:7" x14ac:dyDescent="0.2">
      <c r="A101" t="s">
        <v>90</v>
      </c>
      <c r="B101" s="477" t="s">
        <v>152</v>
      </c>
      <c r="C101" s="471">
        <v>43498</v>
      </c>
      <c r="D101" s="475"/>
      <c r="E101" s="471"/>
    </row>
    <row r="102" spans="1:7" x14ac:dyDescent="0.2">
      <c r="B102" s="477" t="s">
        <v>153</v>
      </c>
      <c r="C102" s="471">
        <f>+Notes!F279-Notes!H279</f>
        <v>-6750</v>
      </c>
      <c r="D102" s="475"/>
      <c r="E102" s="471">
        <v>16747</v>
      </c>
      <c r="F102" s="529"/>
    </row>
    <row r="103" spans="1:7" x14ac:dyDescent="0.2">
      <c r="A103" t="s">
        <v>91</v>
      </c>
      <c r="B103" s="477" t="s">
        <v>154</v>
      </c>
      <c r="C103" s="475">
        <f>6852768-6101371</f>
        <v>751397</v>
      </c>
      <c r="D103" s="475">
        <v>2721616</v>
      </c>
      <c r="E103" s="475">
        <f>C103</f>
        <v>751397</v>
      </c>
      <c r="F103" s="529"/>
      <c r="G103" t="s">
        <v>155</v>
      </c>
    </row>
    <row r="104" spans="1:7" ht="13.5" thickBot="1" x14ac:dyDescent="0.25">
      <c r="A104" s="478" t="s">
        <v>156</v>
      </c>
      <c r="B104" s="477"/>
      <c r="C104" s="476">
        <f>SUM(C99:C103)</f>
        <v>208703</v>
      </c>
      <c r="D104" s="485">
        <f>SUM(D99:D103)</f>
        <v>1814268</v>
      </c>
      <c r="E104" s="476">
        <f>SUM(E99:E103)</f>
        <v>180845</v>
      </c>
    </row>
    <row r="105" spans="1:7" ht="9" customHeight="1" thickTop="1" x14ac:dyDescent="0.2">
      <c r="B105" s="477"/>
      <c r="C105" s="471"/>
      <c r="D105" s="475"/>
      <c r="E105" s="471"/>
    </row>
    <row r="106" spans="1:7" x14ac:dyDescent="0.2">
      <c r="A106" s="1" t="s">
        <v>157</v>
      </c>
      <c r="B106" s="477"/>
      <c r="C106" s="471"/>
      <c r="D106" s="475"/>
      <c r="E106" s="471"/>
    </row>
    <row r="107" spans="1:7" x14ac:dyDescent="0.2">
      <c r="A107" t="s">
        <v>90</v>
      </c>
      <c r="B107" s="479" t="s">
        <v>158</v>
      </c>
      <c r="C107" s="471"/>
      <c r="D107" s="475"/>
      <c r="E107" s="471"/>
    </row>
    <row r="108" spans="1:7" x14ac:dyDescent="0.2">
      <c r="A108" t="s">
        <v>91</v>
      </c>
      <c r="B108" s="480" t="s">
        <v>10</v>
      </c>
      <c r="C108" s="471">
        <v>-31691</v>
      </c>
      <c r="D108" s="475">
        <v>0</v>
      </c>
      <c r="E108" s="471"/>
    </row>
    <row r="109" spans="1:7" x14ac:dyDescent="0.2">
      <c r="A109" t="s">
        <v>91</v>
      </c>
      <c r="B109" s="480" t="s">
        <v>159</v>
      </c>
      <c r="C109" s="471"/>
      <c r="D109" s="475"/>
      <c r="E109" s="471"/>
    </row>
    <row r="110" spans="1:7" x14ac:dyDescent="0.2">
      <c r="A110" t="s">
        <v>144</v>
      </c>
      <c r="B110" s="480" t="s">
        <v>160</v>
      </c>
      <c r="C110" s="471"/>
      <c r="D110" s="475"/>
      <c r="E110" s="471"/>
    </row>
    <row r="111" spans="1:7" ht="13.5" thickBot="1" x14ac:dyDescent="0.25">
      <c r="A111" s="478" t="s">
        <v>161</v>
      </c>
      <c r="B111" s="477"/>
      <c r="C111" s="476">
        <f>SUM(C107:C110)</f>
        <v>-31691</v>
      </c>
      <c r="D111" s="485">
        <f>SUM(D107:D110)</f>
        <v>0</v>
      </c>
      <c r="E111" s="476">
        <f>SUM(E107:E110)</f>
        <v>0</v>
      </c>
    </row>
    <row r="112" spans="1:7" ht="9" customHeight="1" thickTop="1" x14ac:dyDescent="0.2">
      <c r="B112" s="477"/>
      <c r="C112" s="471"/>
      <c r="D112" s="475"/>
      <c r="E112" s="471"/>
    </row>
    <row r="113" spans="1:6" ht="13.5" thickBot="1" x14ac:dyDescent="0.25">
      <c r="A113" s="1" t="s">
        <v>162</v>
      </c>
      <c r="C113" s="476">
        <f>SUM(C96+C104+C111)</f>
        <v>2354774.4700000044</v>
      </c>
      <c r="D113" s="485">
        <f>SUM(D96+D104+D111)</f>
        <v>1552578</v>
      </c>
      <c r="E113" s="476">
        <f>SUM(E96+E104+E111)</f>
        <v>1713694.6199999992</v>
      </c>
    </row>
    <row r="114" spans="1:6" ht="9" customHeight="1" thickTop="1" x14ac:dyDescent="0.2">
      <c r="C114" s="471"/>
      <c r="D114" s="475"/>
      <c r="E114" s="471"/>
    </row>
    <row r="115" spans="1:6" x14ac:dyDescent="0.2">
      <c r="A115" t="s">
        <v>163</v>
      </c>
      <c r="C115" s="471">
        <f>E119</f>
        <v>601775</v>
      </c>
      <c r="D115" s="475">
        <f>E119</f>
        <v>601775</v>
      </c>
      <c r="E115" s="471">
        <v>2716934</v>
      </c>
      <c r="F115" s="529"/>
    </row>
    <row r="116" spans="1:6" ht="9" customHeight="1" x14ac:dyDescent="0.2">
      <c r="C116" s="471"/>
      <c r="D116" s="475"/>
      <c r="E116" s="471"/>
    </row>
    <row r="117" spans="1:6" x14ac:dyDescent="0.2">
      <c r="A117" t="s">
        <v>164</v>
      </c>
      <c r="C117" s="475">
        <f>SUM(C113+C115)</f>
        <v>2956549.4700000044</v>
      </c>
      <c r="D117" s="475">
        <f>SUM(D113+D115)</f>
        <v>2154353</v>
      </c>
      <c r="E117" s="471">
        <v>601775</v>
      </c>
    </row>
    <row r="118" spans="1:6" ht="9" customHeight="1" x14ac:dyDescent="0.2">
      <c r="C118" s="471"/>
      <c r="D118" s="475"/>
      <c r="E118" s="471"/>
    </row>
    <row r="119" spans="1:6" x14ac:dyDescent="0.2">
      <c r="A119" t="s">
        <v>165</v>
      </c>
      <c r="C119" s="475">
        <f>+'Financial Position'!C11</f>
        <v>2723519.94</v>
      </c>
      <c r="D119" s="475">
        <f>+'Financial Position'!D11</f>
        <v>2154353</v>
      </c>
      <c r="E119" s="475">
        <f>+'Financial Position'!E11</f>
        <v>601775</v>
      </c>
    </row>
    <row r="120" spans="1:6" ht="9" customHeight="1" x14ac:dyDescent="0.2">
      <c r="C120" s="471"/>
      <c r="D120" s="475"/>
      <c r="E120" s="471"/>
    </row>
    <row r="121" spans="1:6" x14ac:dyDescent="0.2">
      <c r="A121" t="s">
        <v>166</v>
      </c>
      <c r="C121" s="471">
        <f>SUM(C117-C119)</f>
        <v>233029.53000000445</v>
      </c>
      <c r="D121" s="475">
        <f>SUM(D117-D119)</f>
        <v>0</v>
      </c>
      <c r="E121" s="471">
        <f>SUM(E117-E119)</f>
        <v>0</v>
      </c>
    </row>
    <row r="122" spans="1:6" x14ac:dyDescent="0.2">
      <c r="D122" s="483"/>
    </row>
  </sheetData>
  <mergeCells count="1">
    <mergeCell ref="A3:F3"/>
  </mergeCells>
  <phoneticPr fontId="65" type="noConversion"/>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44"/>
  <sheetViews>
    <sheetView topLeftCell="A935" workbookViewId="0">
      <selection activeCell="C954" sqref="C954"/>
    </sheetView>
  </sheetViews>
  <sheetFormatPr defaultRowHeight="12.75" x14ac:dyDescent="0.2"/>
  <cols>
    <col min="1" max="1" width="45.140625" style="540" bestFit="1" customWidth="1"/>
    <col min="2" max="2" width="2" style="539" customWidth="1"/>
    <col min="3" max="3" width="11.7109375" style="539" customWidth="1"/>
    <col min="4" max="4" width="15" style="539" customWidth="1"/>
    <col min="5" max="5" width="11" style="539" customWidth="1"/>
    <col min="6" max="6" width="12.85546875" style="539" customWidth="1"/>
    <col min="7" max="7" width="12.5703125" style="539" customWidth="1"/>
    <col min="8" max="8" width="11.85546875" style="539" customWidth="1"/>
    <col min="9" max="16384" width="9.140625" style="539"/>
  </cols>
  <sheetData>
    <row r="1" spans="1:8" x14ac:dyDescent="0.2">
      <c r="A1" s="538" t="s">
        <v>998</v>
      </c>
      <c r="C1" s="539" t="s">
        <v>814</v>
      </c>
      <c r="D1" s="539" t="s">
        <v>1010</v>
      </c>
      <c r="E1" s="539" t="s">
        <v>815</v>
      </c>
      <c r="G1" s="539" t="s">
        <v>299</v>
      </c>
    </row>
    <row r="3" spans="1:8" x14ac:dyDescent="0.2">
      <c r="A3" s="540" t="s">
        <v>999</v>
      </c>
      <c r="C3" s="539" t="s">
        <v>933</v>
      </c>
    </row>
    <row r="4" spans="1:8" x14ac:dyDescent="0.2">
      <c r="A4" s="540">
        <v>10010</v>
      </c>
      <c r="C4" s="541">
        <f>HLOOKUP("start",ESLData!E$1:E$9983,MATCH($A4,ESLData!$B$1:$B$9983,0))*-1</f>
        <v>815003.55</v>
      </c>
      <c r="D4" s="541"/>
      <c r="E4" s="541">
        <f>HLOOKUP("start",ESLData!F$1:F$9983,MATCH($A4,ESLData!$B$1:$B$9983,0))*-1</f>
        <v>814288</v>
      </c>
      <c r="F4" s="541"/>
      <c r="G4" s="541">
        <f>HLOOKUP("start",ESLData!H$1:H$9983,MATCH($A4,ESLData!$B$1:$B$9983,0))*-1</f>
        <v>825180.66</v>
      </c>
    </row>
    <row r="5" spans="1:8" x14ac:dyDescent="0.2">
      <c r="A5" s="540">
        <v>10011</v>
      </c>
      <c r="C5" s="541">
        <f>HLOOKUP("start",ESLData!E$1:E$9983,MATCH($A5,ESLData!$B$1:$B$9983,0))*-1</f>
        <v>217197.11</v>
      </c>
      <c r="E5" s="541">
        <f>HLOOKUP("start",ESLData!F$1:F$9983,MATCH($A5,ESLData!$B$1:$B$9983,0))*-1</f>
        <v>0</v>
      </c>
      <c r="G5" s="541">
        <f>HLOOKUP("start",ESLData!H$1:H$9983,MATCH($A5,ESLData!$B$1:$B$9983,0))*-1</f>
        <v>288850</v>
      </c>
    </row>
    <row r="6" spans="1:8" x14ac:dyDescent="0.2">
      <c r="A6" s="540">
        <v>10020</v>
      </c>
      <c r="C6" s="541">
        <f>HLOOKUP("start",ESLData!E$1:E$9983,MATCH($A6,ESLData!$B$1:$B$9983,0))*-1</f>
        <v>7683.48</v>
      </c>
      <c r="D6" s="542">
        <f>SUM(C4:C6)</f>
        <v>1039884.14</v>
      </c>
      <c r="E6" s="541">
        <f>HLOOKUP("start",ESLData!F$1:F$9983,MATCH($A6,ESLData!$B$1:$B$9983,0))*-1</f>
        <v>8960</v>
      </c>
      <c r="F6" s="542">
        <f>SUM(E4:E6)</f>
        <v>823248</v>
      </c>
      <c r="G6" s="541">
        <f>HLOOKUP("start",ESLData!H$1:H$9983,MATCH($A6,ESLData!$B$1:$B$9983,0))*-1</f>
        <v>8958.25</v>
      </c>
      <c r="H6" s="542">
        <f>SUM(G4:G6)</f>
        <v>1122988.9100000001</v>
      </c>
    </row>
    <row r="7" spans="1:8" x14ac:dyDescent="0.2">
      <c r="A7" s="540" t="s">
        <v>1000</v>
      </c>
      <c r="C7" s="541" t="s">
        <v>755</v>
      </c>
      <c r="E7" s="541"/>
      <c r="G7" s="541"/>
    </row>
    <row r="8" spans="1:8" x14ac:dyDescent="0.2">
      <c r="A8" s="540">
        <v>10190</v>
      </c>
      <c r="C8" s="541">
        <f>HLOOKUP("start",ESLData!E$1:E$9983,MATCH($A8,ESLData!$B$1:$B$9983,0))*-1</f>
        <v>1767770.4</v>
      </c>
      <c r="D8" s="542">
        <f>+C8</f>
        <v>1767770.4</v>
      </c>
      <c r="E8" s="541">
        <f>HLOOKUP("start",ESLData!F$1:F$9983,MATCH($A8,ESLData!$B$1:$B$9983,0))*-1</f>
        <v>1767768</v>
      </c>
      <c r="F8" s="542">
        <f>+E8</f>
        <v>1767768</v>
      </c>
      <c r="G8" s="541">
        <f>HLOOKUP("start",ESLData!H$1:H$9983,MATCH($A8,ESLData!$B$1:$B$9983,0))*-1</f>
        <v>1767770.4</v>
      </c>
      <c r="H8" s="542">
        <f>+G8</f>
        <v>1767770.4</v>
      </c>
    </row>
    <row r="9" spans="1:8" x14ac:dyDescent="0.2">
      <c r="A9" s="540" t="s">
        <v>890</v>
      </c>
      <c r="C9" s="541" t="s">
        <v>756</v>
      </c>
      <c r="E9" s="541"/>
      <c r="G9" s="541"/>
    </row>
    <row r="10" spans="1:8" x14ac:dyDescent="0.2">
      <c r="A10" s="540">
        <v>10200</v>
      </c>
      <c r="C10" s="541">
        <f>HLOOKUP("start",ESLData!E$1:E$9983,MATCH($A10,ESLData!$B$1:$B$9983,0))*-1</f>
        <v>162651.22</v>
      </c>
      <c r="E10" s="541">
        <f>HLOOKUP("start",ESLData!F$1:F$9983,MATCH($A10,ESLData!$B$1:$B$9983,0))*-1</f>
        <v>162651</v>
      </c>
      <c r="G10" s="541">
        <f>HLOOKUP("start",ESLData!H$1:H$9983,MATCH($A10,ESLData!$B$1:$B$9983,0))*-1</f>
        <v>162651.24</v>
      </c>
    </row>
    <row r="11" spans="1:8" x14ac:dyDescent="0.2">
      <c r="A11" s="540">
        <v>10210</v>
      </c>
      <c r="C11" s="541">
        <f>HLOOKUP("start",ESLData!E$1:E$9983,MATCH($A11,ESLData!$B$1:$B$9983,0))*-1</f>
        <v>620675.61</v>
      </c>
      <c r="D11" s="542">
        <f>+C10+C11</f>
        <v>783326.83</v>
      </c>
      <c r="E11" s="541">
        <f>HLOOKUP("start",ESLData!F$1:F$9983,MATCH($A11,ESLData!$B$1:$B$9983,0))*-1</f>
        <v>620677</v>
      </c>
      <c r="F11" s="542">
        <f>+E10+E11</f>
        <v>783328</v>
      </c>
      <c r="G11" s="541">
        <f>HLOOKUP("start",ESLData!H$1:H$9983,MATCH($A11,ESLData!$B$1:$B$9983,0))*-1</f>
        <v>620675.64</v>
      </c>
      <c r="H11" s="542">
        <f>SUM(G10:G11)</f>
        <v>783326.88</v>
      </c>
    </row>
    <row r="12" spans="1:8" x14ac:dyDescent="0.2">
      <c r="A12" s="543" t="s">
        <v>891</v>
      </c>
      <c r="C12" s="541" t="s">
        <v>757</v>
      </c>
      <c r="E12" s="541"/>
      <c r="G12" s="541"/>
    </row>
    <row r="13" spans="1:8" x14ac:dyDescent="0.2">
      <c r="A13" s="540">
        <v>10240</v>
      </c>
      <c r="C13" s="541">
        <f>HLOOKUP("start",ESLData!E$1:E$9983,MATCH($A13,ESLData!$B$1:$B$9983,0))*-1</f>
        <v>644601.69999999995</v>
      </c>
      <c r="D13" s="542">
        <f>+C13</f>
        <v>644601.69999999995</v>
      </c>
      <c r="E13" s="541">
        <f>HLOOKUP("start",ESLData!F$1:F$9983,MATCH($A13,ESLData!$B$1:$B$9983,0))*-1</f>
        <v>644601</v>
      </c>
      <c r="F13" s="542">
        <f>+E13</f>
        <v>644601</v>
      </c>
      <c r="G13" s="541">
        <f>HLOOKUP("start",ESLData!H$1:H$9983,MATCH($A13,ESLData!$B$1:$B$9983,0))*-1</f>
        <v>644601.72</v>
      </c>
      <c r="H13" s="542">
        <f>+G13</f>
        <v>644601.72</v>
      </c>
    </row>
    <row r="14" spans="1:8" x14ac:dyDescent="0.2">
      <c r="A14" s="543" t="s">
        <v>892</v>
      </c>
      <c r="C14" s="541" t="s">
        <v>1001</v>
      </c>
      <c r="E14" s="541"/>
      <c r="G14" s="541"/>
    </row>
    <row r="15" spans="1:8" x14ac:dyDescent="0.2">
      <c r="A15" s="540">
        <v>10290</v>
      </c>
      <c r="C15" s="541">
        <f>HLOOKUP("start",ESLData!E$1:E$9983,MATCH($A15,ESLData!$B$1:$B$9983,0))*-1</f>
        <v>8755013.5600000005</v>
      </c>
      <c r="D15" s="542">
        <f>+C15</f>
        <v>8755013.5600000005</v>
      </c>
      <c r="E15" s="541">
        <f>HLOOKUP("start",ESLData!F$1:F$9983,MATCH($A15,ESLData!$B$1:$B$9983,0))*-1</f>
        <v>8370000</v>
      </c>
      <c r="F15" s="542">
        <f>+E15</f>
        <v>8370000</v>
      </c>
      <c r="G15" s="541">
        <f>HLOOKUP("start",ESLData!H$1:H$9983,MATCH($A15,ESLData!$B$1:$B$9983,0))*-1</f>
        <v>8632083.6099999994</v>
      </c>
      <c r="H15" s="542">
        <f>+G15</f>
        <v>8632083.6099999994</v>
      </c>
    </row>
    <row r="16" spans="1:8" x14ac:dyDescent="0.2">
      <c r="A16" s="543" t="s">
        <v>893</v>
      </c>
      <c r="C16" s="541" t="s">
        <v>1002</v>
      </c>
      <c r="E16" s="541"/>
      <c r="G16" s="541"/>
    </row>
    <row r="17" spans="1:8" x14ac:dyDescent="0.2">
      <c r="A17" s="540">
        <v>10300</v>
      </c>
      <c r="C17" s="541">
        <f>HLOOKUP("start",ESLData!E$1:E$9983,MATCH($A17,ESLData!$B$1:$B$9983,0))*-1</f>
        <v>477895.56</v>
      </c>
      <c r="E17" s="541">
        <f>HLOOKUP("start",ESLData!F$1:F$9983,MATCH($A17,ESLData!$B$1:$B$9983,0))*-1</f>
        <v>476661</v>
      </c>
      <c r="G17" s="541">
        <f>HLOOKUP("start",ESLData!H$1:H$9983,MATCH($A17,ESLData!$B$1:$B$9983,0))*-1</f>
        <v>448748.39</v>
      </c>
    </row>
    <row r="18" spans="1:8" x14ac:dyDescent="0.2">
      <c r="A18" s="540">
        <v>10310</v>
      </c>
      <c r="C18" s="541">
        <f>HLOOKUP("start",ESLData!E$1:E$9983,MATCH($A18,ESLData!$B$1:$B$9983,0))*-1</f>
        <v>104096.41</v>
      </c>
      <c r="E18" s="541">
        <f>HLOOKUP("start",ESLData!F$1:F$9983,MATCH($A18,ESLData!$B$1:$B$9983,0))*-1</f>
        <v>104096</v>
      </c>
      <c r="G18" s="541">
        <f>HLOOKUP("start",ESLData!H$1:H$9983,MATCH($A18,ESLData!$B$1:$B$9983,0))*-1</f>
        <v>104096.4</v>
      </c>
    </row>
    <row r="19" spans="1:8" x14ac:dyDescent="0.2">
      <c r="A19" s="540">
        <v>10315</v>
      </c>
      <c r="C19" s="541">
        <f>HLOOKUP("start",ESLData!E$1:E$9983,MATCH($A19,ESLData!$B$1:$B$9983,0))*-1</f>
        <v>296516.46000000002</v>
      </c>
      <c r="E19" s="541">
        <f>HLOOKUP("start",ESLData!F$1:F$9983,MATCH($A19,ESLData!$B$1:$B$9983,0))*-1</f>
        <v>291542</v>
      </c>
      <c r="G19" s="541">
        <f>HLOOKUP("start",ESLData!H$1:H$9983,MATCH($A19,ESLData!$B$1:$B$9983,0))*-1</f>
        <v>301975.56</v>
      </c>
    </row>
    <row r="20" spans="1:8" x14ac:dyDescent="0.2">
      <c r="A20" s="540">
        <v>10316</v>
      </c>
      <c r="C20" s="541">
        <f>HLOOKUP("start",ESLData!E$1:E$9983,MATCH($A20,ESLData!$B$1:$B$9983,0))*-1</f>
        <v>176653.05</v>
      </c>
      <c r="E20" s="541">
        <f>HLOOKUP("start",ESLData!F$1:F$9983,MATCH($A20,ESLData!$B$1:$B$9983,0))*-1</f>
        <v>176653</v>
      </c>
      <c r="G20" s="541">
        <f>HLOOKUP("start",ESLData!H$1:H$9983,MATCH($A20,ESLData!$B$1:$B$9983,0))*-1</f>
        <v>176653.08</v>
      </c>
    </row>
    <row r="21" spans="1:8" x14ac:dyDescent="0.2">
      <c r="A21" s="540">
        <v>10317</v>
      </c>
      <c r="C21" s="541">
        <f>HLOOKUP("start",ESLData!E$1:E$9983,MATCH($A21,ESLData!$B$1:$B$9983,0))*-1</f>
        <v>0</v>
      </c>
      <c r="D21" s="542">
        <f>SUM(C17:C21)</f>
        <v>1055161.48</v>
      </c>
      <c r="E21" s="541">
        <f>HLOOKUP("start",ESLData!F$1:F$9983,MATCH($A21,ESLData!$B$1:$B$9983,0))*-1</f>
        <v>0</v>
      </c>
      <c r="F21" s="542">
        <f>SUM(E17:E21)</f>
        <v>1048952</v>
      </c>
      <c r="G21" s="541">
        <f>HLOOKUP("start",ESLData!H$1:H$9983,MATCH($A21,ESLData!$B$1:$B$9983,0))*-1</f>
        <v>0</v>
      </c>
      <c r="H21" s="542">
        <f>SUM(G17:G21)</f>
        <v>1031473.43</v>
      </c>
    </row>
    <row r="22" spans="1:8" x14ac:dyDescent="0.2">
      <c r="A22" s="543" t="s">
        <v>894</v>
      </c>
      <c r="C22" s="541" t="s">
        <v>1003</v>
      </c>
      <c r="E22" s="541"/>
      <c r="G22" s="541"/>
    </row>
    <row r="23" spans="1:8" x14ac:dyDescent="0.2">
      <c r="A23" s="540">
        <v>10282</v>
      </c>
      <c r="C23" s="541">
        <f>HLOOKUP("start",ESLData!E$1:E$9983,MATCH($A23,ESLData!$B$1:$B$9983,0))*-1</f>
        <v>15283.41</v>
      </c>
      <c r="D23" s="542">
        <f>+C23</f>
        <v>15283.41</v>
      </c>
      <c r="E23" s="541">
        <f>HLOOKUP("start",ESLData!F$1:F$9983,MATCH($A23,ESLData!$B$1:$B$9983,0))*-1</f>
        <v>15282</v>
      </c>
      <c r="F23" s="542">
        <f>+E23</f>
        <v>15282</v>
      </c>
      <c r="G23" s="541">
        <f>HLOOKUP("start",ESLData!H$1:H$9983,MATCH($A23,ESLData!$B$1:$B$9983,0))*-1</f>
        <v>15283.44</v>
      </c>
      <c r="H23" s="542">
        <f>+G23</f>
        <v>15283.44</v>
      </c>
    </row>
    <row r="24" spans="1:8" x14ac:dyDescent="0.2">
      <c r="A24" s="543" t="s">
        <v>895</v>
      </c>
      <c r="C24" s="541" t="s">
        <v>1004</v>
      </c>
      <c r="E24" s="541"/>
      <c r="G24" s="541"/>
    </row>
    <row r="25" spans="1:8" x14ac:dyDescent="0.2">
      <c r="A25" s="540">
        <v>10283</v>
      </c>
      <c r="C25" s="541">
        <f>HLOOKUP("start",ESLData!E$1:E$9983,MATCH($A25,ESLData!$B$1:$B$9983,0))*-1</f>
        <v>797655.57</v>
      </c>
      <c r="D25" s="542">
        <f>+C25</f>
        <v>797655.57</v>
      </c>
      <c r="E25" s="541">
        <f>HLOOKUP("start",ESLData!F$1:F$9983,MATCH($A25,ESLData!$B$1:$B$9983,0))*-1</f>
        <v>797655</v>
      </c>
      <c r="F25" s="542">
        <f>+E25</f>
        <v>797655</v>
      </c>
      <c r="G25" s="541">
        <f>HLOOKUP("start",ESLData!H$1:H$9983,MATCH($A25,ESLData!$B$1:$B$9983,0))*-1</f>
        <v>797655.6</v>
      </c>
      <c r="H25" s="542">
        <f>+G25</f>
        <v>797655.6</v>
      </c>
    </row>
    <row r="26" spans="1:8" x14ac:dyDescent="0.2">
      <c r="A26" s="544" t="s">
        <v>935</v>
      </c>
      <c r="C26" s="541" t="s">
        <v>1005</v>
      </c>
      <c r="E26" s="541"/>
      <c r="G26" s="541"/>
    </row>
    <row r="27" spans="1:8" x14ac:dyDescent="0.2">
      <c r="A27" s="540">
        <v>10286</v>
      </c>
      <c r="C27" s="541">
        <f>HLOOKUP("start",ESLData!E$1:E$9983,MATCH($A27,ESLData!$B$1:$B$9983,0))*-1</f>
        <v>0</v>
      </c>
      <c r="E27" s="541">
        <f>HLOOKUP("start",ESLData!F$1:F$9983,MATCH($A27,ESLData!$B$1:$B$9983,0))*-1</f>
        <v>0</v>
      </c>
      <c r="G27" s="541">
        <f>HLOOKUP("start",ESLData!H$1:H$9983,MATCH($A27,ESLData!$B$1:$B$9983,0))*-1</f>
        <v>0</v>
      </c>
    </row>
    <row r="28" spans="1:8" x14ac:dyDescent="0.2">
      <c r="A28" s="544">
        <v>10287</v>
      </c>
      <c r="C28" s="541">
        <f>HLOOKUP("start",ESLData!E$1:E$9983,MATCH($A28,ESLData!$B$1:$B$9983,0))*-1</f>
        <v>0</v>
      </c>
      <c r="D28" s="542"/>
      <c r="E28" s="541">
        <f>HLOOKUP("start",ESLData!F$1:F$9983,MATCH($A28,ESLData!$B$1:$B$9983,0))*-1</f>
        <v>0</v>
      </c>
      <c r="F28" s="542">
        <f>+E27+E28</f>
        <v>0</v>
      </c>
      <c r="G28" s="541">
        <f>HLOOKUP("start",ESLData!H$1:H$9983,MATCH($A28,ESLData!$B$1:$B$9983,0))*-1</f>
        <v>0</v>
      </c>
      <c r="H28" s="542">
        <f>SUM(G27:G28)</f>
        <v>0</v>
      </c>
    </row>
    <row r="29" spans="1:8" x14ac:dyDescent="0.2">
      <c r="A29" s="544">
        <v>10288</v>
      </c>
      <c r="C29" s="541">
        <f>HLOOKUP("start",ESLData!E$1:E$9983,MATCH($A29,ESLData!$B$1:$B$9983,0))*-1</f>
        <v>1080272.1399999999</v>
      </c>
      <c r="D29" s="542">
        <f>+C27+C28+C29</f>
        <v>1080272.1399999999</v>
      </c>
      <c r="E29" s="541">
        <f>HLOOKUP("start",ESLData!F$1:F$9983,MATCH($A29,ESLData!$B$1:$B$9983,0))*-1</f>
        <v>1036733</v>
      </c>
      <c r="F29" s="542">
        <f>+E29</f>
        <v>1036733</v>
      </c>
      <c r="G29" s="541">
        <f>HLOOKUP("start",ESLData!H$1:H$9983,MATCH($A29,ESLData!$B$1:$B$9983,0))*-1</f>
        <v>1055026.08</v>
      </c>
      <c r="H29" s="542">
        <f>+G29</f>
        <v>1055026.08</v>
      </c>
    </row>
    <row r="30" spans="1:8" x14ac:dyDescent="0.2">
      <c r="A30" s="543" t="s">
        <v>896</v>
      </c>
      <c r="C30" s="541" t="s">
        <v>1006</v>
      </c>
      <c r="E30" s="541"/>
      <c r="G30" s="541"/>
    </row>
    <row r="31" spans="1:8" x14ac:dyDescent="0.2">
      <c r="A31" s="543">
        <v>1900</v>
      </c>
      <c r="C31" s="541">
        <f>HLOOKUP("start",ESLData!E$1:E$9983,MATCH($A31,ESLData!$B$1:$B$9983,0))*-1</f>
        <v>2386322</v>
      </c>
      <c r="D31" s="542">
        <f>+C31</f>
        <v>2386322</v>
      </c>
      <c r="E31" s="541">
        <f>HLOOKUP("start",ESLData!F$1:F$9983,MATCH($A31,ESLData!$B$1:$B$9983,0))*-1</f>
        <v>1581057</v>
      </c>
      <c r="F31" s="542">
        <f>+E31</f>
        <v>1581057</v>
      </c>
      <c r="G31" s="541">
        <f>HLOOKUP("start",ESLData!H$1:H$9983,MATCH($A31,ESLData!$B$1:$B$9983,0))*-1</f>
        <v>1237863.8799999999</v>
      </c>
      <c r="H31" s="542">
        <f>+G31</f>
        <v>1237863.8799999999</v>
      </c>
    </row>
    <row r="32" spans="1:8" x14ac:dyDescent="0.2">
      <c r="A32" s="540" t="s">
        <v>1007</v>
      </c>
      <c r="C32" s="541" t="s">
        <v>1008</v>
      </c>
      <c r="E32" s="541"/>
      <c r="G32" s="541"/>
    </row>
    <row r="33" spans="1:10" x14ac:dyDescent="0.2">
      <c r="A33" s="540">
        <v>25100</v>
      </c>
      <c r="C33" s="541">
        <f>HLOOKUP("start",ESLData!E$1:E$9983,MATCH($A33,ESLData!$B$1:$B$9983,0))*-1</f>
        <v>120521.74</v>
      </c>
      <c r="E33" s="541">
        <f>HLOOKUP("start",ESLData!F$1:F$9983,MATCH($A33,ESLData!$B$1:$B$9983,0))*-1</f>
        <v>129132</v>
      </c>
      <c r="G33" s="541">
        <f>HLOOKUP("start",ESLData!H$1:H$9983,MATCH($A33,ESLData!$B$1:$B$9983,0))*-1</f>
        <v>0</v>
      </c>
      <c r="I33" s="547"/>
    </row>
    <row r="34" spans="1:10" x14ac:dyDescent="0.2">
      <c r="A34" s="545">
        <v>10318</v>
      </c>
      <c r="C34" s="541">
        <f>HLOOKUP("start",ESLData!E$1:E$9983,MATCH($A34,ESLData!$B$1:$B$9983,0))*-1</f>
        <v>170921.62</v>
      </c>
      <c r="E34" s="541">
        <f>HLOOKUP("start",ESLData!F$1:F$9983,MATCH($A34,ESLData!$B$1:$B$9983,0))*-1</f>
        <v>170922</v>
      </c>
      <c r="G34" s="541">
        <f>HLOOKUP("start",ESLData!H$1:H$9983,MATCH($A34,ESLData!$B$1:$B$9983,0))*-1</f>
        <v>170921.64</v>
      </c>
    </row>
    <row r="35" spans="1:10" x14ac:dyDescent="0.2">
      <c r="A35" s="545">
        <v>10320</v>
      </c>
      <c r="C35" s="541">
        <f>HLOOKUP("start",ESLData!E$1:E$9983,MATCH($A35,ESLData!$B$1:$B$9983,0))*-1</f>
        <v>0</v>
      </c>
      <c r="E35" s="541">
        <f>HLOOKUP("start",ESLData!F$1:F$9983,MATCH($A35,ESLData!$B$1:$B$9983,0))*-1</f>
        <v>0</v>
      </c>
      <c r="G35" s="541">
        <f>HLOOKUP("start",ESLData!H$1:H$9983,MATCH($A35,ESLData!$B$1:$B$9983,0))*-1</f>
        <v>0</v>
      </c>
    </row>
    <row r="36" spans="1:10" x14ac:dyDescent="0.2">
      <c r="A36" s="545">
        <v>156</v>
      </c>
      <c r="C36" s="541">
        <f>HLOOKUP("start",ESLData!E$1:E$9983,MATCH($A36,ESLData!$B$1:$B$9983,0))*-1</f>
        <v>14160</v>
      </c>
      <c r="E36" s="541">
        <f>HLOOKUP("start",ESLData!F$1:F$9983,MATCH($A36,ESLData!$B$1:$B$9983,0))*-1</f>
        <v>0</v>
      </c>
      <c r="G36" s="541">
        <f>HLOOKUP("start",ESLData!H$1:H$9983,MATCH($A36,ESLData!$B$1:$B$9983,0))*-1</f>
        <v>4640</v>
      </c>
    </row>
    <row r="37" spans="1:10" x14ac:dyDescent="0.2">
      <c r="A37" s="545">
        <v>148</v>
      </c>
      <c r="C37" s="541">
        <f>HLOOKUP("start",ESLData!E$1:E$9983,MATCH($A37,ESLData!$B$1:$B$9983,0))*-1</f>
        <v>14720</v>
      </c>
      <c r="E37" s="541">
        <f>HLOOKUP("start",ESLData!F$1:F$9983,MATCH($A37,ESLData!$B$1:$B$9983,0))*-1</f>
        <v>0</v>
      </c>
      <c r="G37" s="541">
        <f>HLOOKUP("start",ESLData!H$1:H$9983,MATCH($A37,ESLData!$B$1:$B$9983,0))*-1</f>
        <v>37120</v>
      </c>
    </row>
    <row r="38" spans="1:10" x14ac:dyDescent="0.2">
      <c r="A38" s="545">
        <v>10400</v>
      </c>
      <c r="C38" s="541">
        <f>HLOOKUP("start",ESLData!E$1:E$9983,MATCH($A38,ESLData!$B$1:$B$9983,0))*-1</f>
        <v>25044.5</v>
      </c>
      <c r="E38" s="541">
        <f>HLOOKUP("start",ESLData!F$1:F$9983,MATCH($A38,ESLData!$B$1:$B$9983,0))*-1</f>
        <v>18896</v>
      </c>
      <c r="G38" s="541">
        <f>HLOOKUP("start",ESLData!H$1:H$9983,MATCH($A38,ESLData!$B$1:$B$9983,0))*-1</f>
        <v>43940.57</v>
      </c>
    </row>
    <row r="39" spans="1:10" x14ac:dyDescent="0.2">
      <c r="A39" s="545">
        <v>10410</v>
      </c>
      <c r="C39" s="541">
        <f>HLOOKUP("start",ESLData!E$1:E$9983,MATCH($A39,ESLData!$B$1:$B$9983,0))*-1</f>
        <v>25256.43</v>
      </c>
      <c r="E39" s="541">
        <f>HLOOKUP("start",ESLData!F$1:F$9983,MATCH($A39,ESLData!$B$1:$B$9983,0))*-1</f>
        <v>0</v>
      </c>
      <c r="G39" s="541">
        <f>HLOOKUP("start",ESLData!H$1:H$9983,MATCH($A39,ESLData!$B$1:$B$9983,0))*-1</f>
        <v>19463.14</v>
      </c>
    </row>
    <row r="40" spans="1:10" s="550" customFormat="1" x14ac:dyDescent="0.2">
      <c r="A40" s="544">
        <v>10289</v>
      </c>
      <c r="C40" s="541">
        <f>HLOOKUP("start",ESLData!E$1:E$9983,MATCH($A40,ESLData!$B$1:$B$9983,0))*-1</f>
        <v>10000</v>
      </c>
      <c r="D40" s="551">
        <f>SUM(C33:C40)</f>
        <v>380624.29</v>
      </c>
      <c r="E40" s="541">
        <f>HLOOKUP("start",ESLData!F$1:F$9983,MATCH($A40,ESLData!$B$1:$B$9983,0))*-1</f>
        <v>0</v>
      </c>
      <c r="F40" s="551">
        <f>SUM(E33:E40)</f>
        <v>318950</v>
      </c>
      <c r="G40" s="541">
        <f>HLOOKUP("start",ESLData!H$1:H$9983,MATCH($A40,ESLData!$B$1:$B$9983,0))*-1</f>
        <v>0</v>
      </c>
      <c r="H40" s="551">
        <f>SUM(G33:G40)</f>
        <v>276085.35000000003</v>
      </c>
      <c r="J40" s="552"/>
    </row>
    <row r="41" spans="1:10" x14ac:dyDescent="0.2">
      <c r="C41" s="541"/>
      <c r="E41" s="541"/>
      <c r="G41" s="541"/>
    </row>
    <row r="42" spans="1:10" x14ac:dyDescent="0.2">
      <c r="A42" s="546" t="s">
        <v>870</v>
      </c>
      <c r="C42" s="541"/>
      <c r="E42" s="541"/>
      <c r="G42" s="541"/>
    </row>
    <row r="43" spans="1:10" x14ac:dyDescent="0.2">
      <c r="A43" s="538" t="s">
        <v>332</v>
      </c>
      <c r="C43" s="541"/>
      <c r="E43" s="541"/>
      <c r="G43" s="541"/>
    </row>
    <row r="44" spans="1:10" x14ac:dyDescent="0.2">
      <c r="A44" s="540">
        <v>10640</v>
      </c>
      <c r="C44" s="541">
        <f>HLOOKUP("start",ESLData!E$1:E$9983,MATCH($A44,ESLData!$B$1:$B$9983,0))*-1</f>
        <v>300</v>
      </c>
      <c r="E44" s="541">
        <f>HLOOKUP("start",ESLData!F$1:F$9983,MATCH($A44,ESLData!$B$1:$B$9983,0))*-1</f>
        <v>100</v>
      </c>
      <c r="G44" s="541">
        <f>HLOOKUP("start",ESLData!H$1:H$9983,MATCH($A44,ESLData!$B$1:$B$9983,0))*-1</f>
        <v>150</v>
      </c>
    </row>
    <row r="45" spans="1:10" x14ac:dyDescent="0.2">
      <c r="A45" s="540">
        <v>10660</v>
      </c>
      <c r="C45" s="541">
        <f>HLOOKUP("start",ESLData!E$1:E$9983,MATCH($A45,ESLData!$B$1:$B$9983,0))*-1</f>
        <v>26200</v>
      </c>
      <c r="E45" s="541">
        <f>HLOOKUP("start",ESLData!F$1:F$9983,MATCH($A45,ESLData!$B$1:$B$9983,0))*-1</f>
        <v>250</v>
      </c>
      <c r="G45" s="541">
        <f>HLOOKUP("start",ESLData!H$1:H$9983,MATCH($A45,ESLData!$B$1:$B$9983,0))*-1</f>
        <v>22300</v>
      </c>
    </row>
    <row r="46" spans="1:10" x14ac:dyDescent="0.2">
      <c r="A46" s="540">
        <v>10700</v>
      </c>
      <c r="C46" s="541">
        <f>HLOOKUP("start",ESLData!E$1:E$9983,MATCH($A46,ESLData!$B$1:$B$9983,0))*-1</f>
        <v>5000</v>
      </c>
      <c r="D46" s="542">
        <f>SUM(C44:C46)</f>
        <v>31500</v>
      </c>
      <c r="E46" s="541">
        <f>HLOOKUP("start",ESLData!F$1:F$9983,MATCH($A46,ESLData!$B$1:$B$9983,0))*-1</f>
        <v>0</v>
      </c>
      <c r="F46" s="542">
        <f>SUM(E44:E46)</f>
        <v>350</v>
      </c>
      <c r="G46" s="541">
        <f>HLOOKUP("start",ESLData!H$1:H$9983,MATCH($A46,ESLData!$B$1:$B$9983,0))*-1</f>
        <v>0</v>
      </c>
      <c r="H46" s="542">
        <f>SUM(G44:G46)</f>
        <v>22450</v>
      </c>
    </row>
    <row r="47" spans="1:10" x14ac:dyDescent="0.2">
      <c r="A47" s="538" t="s">
        <v>443</v>
      </c>
      <c r="C47" s="541"/>
      <c r="E47" s="541"/>
      <c r="G47" s="541"/>
    </row>
    <row r="48" spans="1:10" x14ac:dyDescent="0.2">
      <c r="A48" s="540">
        <v>10710</v>
      </c>
      <c r="C48" s="541">
        <f>HLOOKUP("start",ESLData!E$1:E$9983,MATCH($A48,ESLData!$B$1:$B$9983,0))*-1</f>
        <v>1229.67</v>
      </c>
      <c r="E48" s="541">
        <f>HLOOKUP("start",ESLData!F$1:F$9983,MATCH($A48,ESLData!$B$1:$B$9983,0))*-1</f>
        <v>150</v>
      </c>
      <c r="G48" s="541">
        <f>HLOOKUP("start",ESLData!H$1:H$9983,MATCH($A48,ESLData!$B$1:$B$9983,0))*-1</f>
        <v>738.05</v>
      </c>
    </row>
    <row r="49" spans="1:8" x14ac:dyDescent="0.2">
      <c r="A49" s="540">
        <v>10800</v>
      </c>
      <c r="C49" s="541">
        <f>HLOOKUP("start",ESLData!E$1:E$9983,MATCH($A49,ESLData!$B$1:$B$9983,0))*-1</f>
        <v>0</v>
      </c>
      <c r="E49" s="541">
        <f>HLOOKUP("start",ESLData!F$1:F$9983,MATCH($A49,ESLData!$B$1:$B$9983,0))*-1</f>
        <v>0</v>
      </c>
      <c r="G49" s="541">
        <f>HLOOKUP("start",ESLData!H$1:H$9983,MATCH($A49,ESLData!$B$1:$B$9983,0))*-1</f>
        <v>0</v>
      </c>
    </row>
    <row r="50" spans="1:8" x14ac:dyDescent="0.2">
      <c r="A50" s="540">
        <v>10890</v>
      </c>
      <c r="C50" s="541">
        <f>HLOOKUP("start",ESLData!E$1:E$9983,MATCH($A50,ESLData!$B$1:$B$9983,0))*-1</f>
        <v>26325</v>
      </c>
      <c r="E50" s="541">
        <f>HLOOKUP("start",ESLData!F$1:F$9983,MATCH($A50,ESLData!$B$1:$B$9983,0))*-1</f>
        <v>27000</v>
      </c>
      <c r="G50" s="541">
        <f>HLOOKUP("start",ESLData!H$1:H$9983,MATCH($A50,ESLData!$B$1:$B$9983,0))*-1</f>
        <v>31941</v>
      </c>
    </row>
    <row r="51" spans="1:8" x14ac:dyDescent="0.2">
      <c r="A51" s="540">
        <v>10895</v>
      </c>
      <c r="C51" s="541">
        <f>HLOOKUP("start",ESLData!E$1:E$9983,MATCH($A51,ESLData!$B$1:$B$9983,0))*-1</f>
        <v>0</v>
      </c>
      <c r="E51" s="541">
        <f>HLOOKUP("start",ESLData!F$1:F$9983,MATCH($A51,ESLData!$B$1:$B$9983,0))*-1</f>
        <v>0</v>
      </c>
      <c r="G51" s="541">
        <f>HLOOKUP("start",ESLData!H$1:H$9983,MATCH($A51,ESLData!$B$1:$B$9983,0))*-1</f>
        <v>0</v>
      </c>
    </row>
    <row r="52" spans="1:8" x14ac:dyDescent="0.2">
      <c r="A52" s="540">
        <v>10900</v>
      </c>
      <c r="C52" s="541">
        <f>HLOOKUP("start",ESLData!E$1:E$9983,MATCH($A52,ESLData!$B$1:$B$9983,0))*-1</f>
        <v>23506.98</v>
      </c>
      <c r="D52" s="542">
        <f>SUM(C48:C52)</f>
        <v>51061.649999999994</v>
      </c>
      <c r="E52" s="541">
        <f>HLOOKUP("start",ESLData!F$1:F$9983,MATCH($A52,ESLData!$B$1:$B$9983,0))*-1</f>
        <v>22000</v>
      </c>
      <c r="F52" s="542">
        <f>SUM(E48:E52)</f>
        <v>49150</v>
      </c>
      <c r="G52" s="541">
        <f>HLOOKUP("start",ESLData!H$1:H$9983,MATCH($A52,ESLData!$B$1:$B$9983,0))*-1</f>
        <v>7452.7</v>
      </c>
      <c r="H52" s="542">
        <f>SUM(G48:G52)</f>
        <v>40131.75</v>
      </c>
    </row>
    <row r="53" spans="1:8" x14ac:dyDescent="0.2">
      <c r="A53" s="538" t="s">
        <v>602</v>
      </c>
      <c r="C53" s="541"/>
      <c r="E53" s="541"/>
      <c r="G53" s="541"/>
    </row>
    <row r="54" spans="1:8" x14ac:dyDescent="0.2">
      <c r="A54" s="540">
        <v>10801</v>
      </c>
      <c r="C54" s="541">
        <f>HLOOKUP("start",ESLData!E$1:E$9983,MATCH($A54,ESLData!$B$1:$B$9983,0))*-1</f>
        <v>0</v>
      </c>
      <c r="E54" s="541">
        <f>HLOOKUP("start",ESLData!F$1:F$9983,MATCH($A54,ESLData!$B$1:$B$9983,0))*-1</f>
        <v>0</v>
      </c>
      <c r="G54" s="541">
        <f>HLOOKUP("start",ESLData!H$1:H$9983,MATCH($A54,ESLData!$B$1:$B$9983,0))*-1</f>
        <v>0</v>
      </c>
    </row>
    <row r="55" spans="1:8" x14ac:dyDescent="0.2">
      <c r="A55" s="540">
        <v>10902</v>
      </c>
      <c r="C55" s="541">
        <f>HLOOKUP("start",ESLData!E$1:E$9983,MATCH($A55,ESLData!$B$1:$B$9983,0))</f>
        <v>170972.01</v>
      </c>
      <c r="E55" s="541">
        <f>HLOOKUP("start",ESLData!F$1:F$9983,MATCH($A55,ESLData!$B$1:$B$9983,0))</f>
        <v>170922</v>
      </c>
      <c r="G55" s="541">
        <f>HLOOKUP("start",ESLData!H$1:H$9983,MATCH($A55,ESLData!$B$1:$B$9983,0))</f>
        <v>170972</v>
      </c>
    </row>
    <row r="56" spans="1:8" x14ac:dyDescent="0.2">
      <c r="A56" s="540">
        <v>10901</v>
      </c>
      <c r="C56" s="541">
        <f>HLOOKUP("start",ESLData!E$1:E$9983,MATCH($A56,ESLData!$B$1:$B$9983,0))</f>
        <v>7191.02</v>
      </c>
      <c r="D56" s="542"/>
      <c r="E56" s="541">
        <f>HLOOKUP("start",ESLData!F$1:F$9983,MATCH($A56,ESLData!$B$1:$B$9983,0))*-1</f>
        <v>0</v>
      </c>
      <c r="F56" s="542"/>
      <c r="G56" s="541">
        <f>HLOOKUP("start",ESLData!H$1:H$9983,MATCH($A56,ESLData!$B$1:$B$9983,0))*-1</f>
        <v>0</v>
      </c>
      <c r="H56" s="542"/>
    </row>
    <row r="57" spans="1:8" x14ac:dyDescent="0.2">
      <c r="A57" s="538" t="s">
        <v>451</v>
      </c>
      <c r="C57" s="541"/>
      <c r="E57" s="541"/>
      <c r="G57" s="541"/>
    </row>
    <row r="58" spans="1:8" x14ac:dyDescent="0.2">
      <c r="A58" s="540">
        <v>10420</v>
      </c>
      <c r="C58" s="541">
        <f>HLOOKUP("start",ESLData!E$1:E$9983,MATCH($A58,ESLData!$B$1:$B$9983,0))*-1</f>
        <v>0</v>
      </c>
      <c r="E58" s="541">
        <f>HLOOKUP("start",ESLData!F$1:F$9983,MATCH($A58,ESLData!$B$1:$B$9983,0))*-1</f>
        <v>0</v>
      </c>
      <c r="G58" s="541">
        <f>HLOOKUP("start",ESLData!H$1:H$9983,MATCH($A58,ESLData!$B$1:$B$9983,0))*-1</f>
        <v>0</v>
      </c>
    </row>
    <row r="59" spans="1:8" x14ac:dyDescent="0.2">
      <c r="A59" s="540">
        <v>10405</v>
      </c>
      <c r="C59" s="541">
        <f>HLOOKUP("start",ESLData!E$1:E$9983,MATCH($A59,ESLData!$B$1:$B$9983,0))*-1</f>
        <v>14149.87</v>
      </c>
      <c r="E59" s="541">
        <f>HLOOKUP("start",ESLData!F$1:F$9983,MATCH($A59,ESLData!$B$1:$B$9983,0))*-1</f>
        <v>18750</v>
      </c>
      <c r="G59" s="541">
        <f>HLOOKUP("start",ESLData!H$1:H$9983,MATCH($A59,ESLData!$B$1:$B$9983,0))*-1</f>
        <v>4308.7</v>
      </c>
    </row>
    <row r="60" spans="1:8" x14ac:dyDescent="0.2">
      <c r="A60" s="540">
        <v>10430</v>
      </c>
      <c r="C60" s="541">
        <f>HLOOKUP("start",ESLData!E$1:E$9983,MATCH($A60,ESLData!$B$1:$B$9983,0))*-1</f>
        <v>18829.560000000001</v>
      </c>
      <c r="E60" s="541">
        <f>HLOOKUP("start",ESLData!F$1:F$9983,MATCH($A60,ESLData!$B$1:$B$9983,0))*-1</f>
        <v>18830</v>
      </c>
      <c r="G60" s="541">
        <f>HLOOKUP("start",ESLData!H$1:H$9983,MATCH($A60,ESLData!$B$1:$B$9983,0))*-1</f>
        <v>18829.62</v>
      </c>
    </row>
    <row r="61" spans="1:8" x14ac:dyDescent="0.2">
      <c r="A61" s="540">
        <v>10440</v>
      </c>
      <c r="C61" s="541">
        <f>HLOOKUP("start",ESLData!E$1:E$9983,MATCH($A61,ESLData!$B$1:$B$9983,0))*-1</f>
        <v>0</v>
      </c>
      <c r="E61" s="541">
        <f>HLOOKUP("start",ESLData!F$1:F$9983,MATCH($A61,ESLData!$B$1:$B$9983,0))*-1</f>
        <v>0</v>
      </c>
      <c r="G61" s="541">
        <f>HLOOKUP("start",ESLData!H$1:H$9983,MATCH($A61,ESLData!$B$1:$B$9983,0))*-1</f>
        <v>0</v>
      </c>
    </row>
    <row r="62" spans="1:8" x14ac:dyDescent="0.2">
      <c r="A62" s="540">
        <v>10450</v>
      </c>
      <c r="C62" s="541">
        <f>HLOOKUP("start",ESLData!E$1:E$9983,MATCH($A62,ESLData!$B$1:$B$9983,0))*-1</f>
        <v>0</v>
      </c>
      <c r="E62" s="541">
        <f>HLOOKUP("start",ESLData!F$1:F$9983,MATCH($A62,ESLData!$B$1:$B$9983,0))*-1</f>
        <v>0</v>
      </c>
      <c r="G62" s="541">
        <f>HLOOKUP("start",ESLData!H$1:H$9983,MATCH($A62,ESLData!$B$1:$B$9983,0))*-1</f>
        <v>0</v>
      </c>
    </row>
    <row r="63" spans="1:8" x14ac:dyDescent="0.2">
      <c r="A63" s="540">
        <v>10850</v>
      </c>
      <c r="C63" s="541">
        <f>HLOOKUP("start",ESLData!E$1:E$9983,MATCH($A63,ESLData!$B$1:$B$9983,0))*-1</f>
        <v>0</v>
      </c>
      <c r="E63" s="541">
        <f>HLOOKUP("start",ESLData!F$1:F$9983,MATCH($A63,ESLData!$B$1:$B$9983,0))*-1</f>
        <v>0</v>
      </c>
      <c r="G63" s="541">
        <f>HLOOKUP("start",ESLData!H$1:H$9983,MATCH($A63,ESLData!$B$1:$B$9983,0))*-1</f>
        <v>0</v>
      </c>
    </row>
    <row r="64" spans="1:8" x14ac:dyDescent="0.2">
      <c r="A64" s="540">
        <v>10990</v>
      </c>
      <c r="C64" s="541">
        <f>HLOOKUP("start",ESLData!E$1:E$9983,MATCH($A64,ESLData!$B$1:$B$9983,0))*-1</f>
        <v>0</v>
      </c>
      <c r="E64" s="541">
        <f>HLOOKUP("start",ESLData!F$1:F$9983,MATCH($A64,ESLData!$B$1:$B$9983,0))*-1</f>
        <v>0</v>
      </c>
      <c r="G64" s="541">
        <f>HLOOKUP("start",ESLData!H$1:H$9983,MATCH($A64,ESLData!$B$1:$B$9983,0))*-1</f>
        <v>0</v>
      </c>
    </row>
    <row r="65" spans="1:8" x14ac:dyDescent="0.2">
      <c r="A65" s="540">
        <v>10903</v>
      </c>
      <c r="C65" s="541">
        <f>HLOOKUP("start",ESLData!E$1:E$9983,MATCH($A65,ESLData!$B$1:$B$9983,0))*-1</f>
        <v>0</v>
      </c>
      <c r="E65" s="541">
        <f>HLOOKUP("start",ESLData!F$1:F$9983,MATCH($A65,ESLData!$B$1:$B$9983,0))*-1</f>
        <v>0</v>
      </c>
      <c r="G65" s="541">
        <f>HLOOKUP("start",ESLData!H$1:H$9983,MATCH($A65,ESLData!$B$1:$B$9983,0))*-1</f>
        <v>0</v>
      </c>
    </row>
    <row r="66" spans="1:8" x14ac:dyDescent="0.2">
      <c r="A66" s="540">
        <v>21000</v>
      </c>
      <c r="C66" s="541">
        <f>HLOOKUP("start",ESLData!E$1:E$9983,MATCH($A66,ESLData!$B$1:$B$9983,0))*-1</f>
        <v>367.39</v>
      </c>
      <c r="E66" s="541">
        <f>HLOOKUP("start",ESLData!F$1:F$9983,MATCH($A66,ESLData!$B$1:$B$9983,0))*-1</f>
        <v>150</v>
      </c>
      <c r="G66" s="541">
        <f>HLOOKUP("start",ESLData!H$1:H$9983,MATCH($A66,ESLData!$B$1:$B$9983,0))*-1</f>
        <v>358.7</v>
      </c>
    </row>
    <row r="67" spans="1:8" x14ac:dyDescent="0.2">
      <c r="A67" s="540">
        <v>21110</v>
      </c>
      <c r="C67" s="541">
        <f>HLOOKUP("start",ESLData!E$1:E$9983,MATCH($A67,ESLData!$B$1:$B$9983,0))*-1</f>
        <v>0</v>
      </c>
      <c r="E67" s="541">
        <f>HLOOKUP("start",ESLData!F$1:F$9983,MATCH($A67,ESLData!$B$1:$B$9983,0))*-1</f>
        <v>0</v>
      </c>
      <c r="G67" s="541">
        <f>HLOOKUP("start",ESLData!H$1:H$9983,MATCH($A67,ESLData!$B$1:$B$9983,0))*-1</f>
        <v>0</v>
      </c>
    </row>
    <row r="68" spans="1:8" x14ac:dyDescent="0.2">
      <c r="A68" s="540">
        <v>21170</v>
      </c>
      <c r="C68" s="541">
        <f>HLOOKUP("start",ESLData!E$1:E$9983,MATCH($A68,ESLData!$B$1:$B$9983,0))*-1</f>
        <v>0</v>
      </c>
      <c r="D68" s="542">
        <f>SUM(C58:C68)</f>
        <v>33346.82</v>
      </c>
      <c r="E68" s="541">
        <f>HLOOKUP("start",ESLData!F$1:F$9983,MATCH($A68,ESLData!$B$1:$B$9983,0))*-1</f>
        <v>0</v>
      </c>
      <c r="F68" s="542">
        <f>SUM(E58:E68)</f>
        <v>37730</v>
      </c>
      <c r="G68" s="541">
        <f>HLOOKUP("start",ESLData!H$1:H$9983,MATCH($A68,ESLData!$B$1:$B$9983,0))*-1</f>
        <v>0</v>
      </c>
      <c r="H68" s="542">
        <f>SUM(G58:G68)</f>
        <v>23497.02</v>
      </c>
    </row>
    <row r="69" spans="1:8" x14ac:dyDescent="0.2">
      <c r="A69" s="538" t="s">
        <v>603</v>
      </c>
      <c r="C69" s="541"/>
      <c r="E69" s="541"/>
      <c r="G69" s="541"/>
    </row>
    <row r="70" spans="1:8" x14ac:dyDescent="0.2">
      <c r="A70" s="540">
        <v>21100</v>
      </c>
      <c r="C70" s="541">
        <f>HLOOKUP("start",ESLData!E$1:E$9983,MATCH($A70,ESLData!$B$1:$B$9983,0))*-1</f>
        <v>0</v>
      </c>
      <c r="D70" s="542">
        <f>+C70</f>
        <v>0</v>
      </c>
      <c r="E70" s="541">
        <f>HLOOKUP("start",ESLData!F$1:F$9983,MATCH($A70,ESLData!$B$1:$B$9983,0))*-1</f>
        <v>0</v>
      </c>
      <c r="F70" s="542">
        <f>+E70</f>
        <v>0</v>
      </c>
      <c r="G70" s="541">
        <f>HLOOKUP("start",ESLData!H$1:H$9983,MATCH($A70,ESLData!$B$1:$B$9983,0))*-1</f>
        <v>0</v>
      </c>
      <c r="H70" s="542">
        <f>+G70</f>
        <v>0</v>
      </c>
    </row>
    <row r="71" spans="1:8" x14ac:dyDescent="0.2">
      <c r="A71" s="538" t="s">
        <v>604</v>
      </c>
      <c r="C71" s="541"/>
      <c r="E71" s="541"/>
      <c r="G71" s="541"/>
    </row>
    <row r="72" spans="1:8" x14ac:dyDescent="0.2">
      <c r="A72" s="540">
        <v>21800</v>
      </c>
      <c r="C72" s="541">
        <f>HLOOKUP("start",ESLData!E$1:E$9983,MATCH($A72,ESLData!$B$1:$B$9983,0))*-1</f>
        <v>0</v>
      </c>
      <c r="E72" s="541">
        <f>HLOOKUP("start",ESLData!F$1:F$9983,MATCH($A72,ESLData!$B$1:$B$9983,0))*-1</f>
        <v>0</v>
      </c>
      <c r="G72" s="541">
        <f>HLOOKUP("start",ESLData!H$1:H$9983,MATCH($A72,ESLData!$B$1:$B$9983,0))*-1</f>
        <v>0</v>
      </c>
    </row>
    <row r="73" spans="1:8" x14ac:dyDescent="0.2">
      <c r="A73" s="540">
        <v>22000</v>
      </c>
      <c r="C73" s="541">
        <f>HLOOKUP("start",ESLData!E$1:E$9983,MATCH($A73,ESLData!$B$1:$B$9983,0))*-1</f>
        <v>852.11</v>
      </c>
      <c r="E73" s="541">
        <f>HLOOKUP("start",ESLData!F$1:F$9983,MATCH($A73,ESLData!$B$1:$B$9983,0))*-1</f>
        <v>1000</v>
      </c>
      <c r="G73" s="541">
        <f>HLOOKUP("start",ESLData!H$1:H$9983,MATCH($A73,ESLData!$B$1:$B$9983,0))*-1</f>
        <v>1721.61</v>
      </c>
    </row>
    <row r="74" spans="1:8" x14ac:dyDescent="0.2">
      <c r="A74" s="540">
        <v>22200</v>
      </c>
      <c r="C74" s="541">
        <f>HLOOKUP("start",ESLData!E$1:E$9983,MATCH($A74,ESLData!$B$1:$B$9983,0))*-1</f>
        <v>69.569999999999993</v>
      </c>
      <c r="E74" s="541">
        <f>HLOOKUP("start",ESLData!F$1:F$9983,MATCH($A74,ESLData!$B$1:$B$9983,0))*-1</f>
        <v>0</v>
      </c>
      <c r="G74" s="541">
        <f>HLOOKUP("start",ESLData!H$1:H$9983,MATCH($A74,ESLData!$B$1:$B$9983,0))*-1</f>
        <v>295.64999999999998</v>
      </c>
    </row>
    <row r="75" spans="1:8" x14ac:dyDescent="0.2">
      <c r="A75" s="540">
        <v>22400</v>
      </c>
      <c r="C75" s="541">
        <f>HLOOKUP("start",ESLData!E$1:E$9983,MATCH($A75,ESLData!$B$1:$B$9983,0))*-1</f>
        <v>360</v>
      </c>
      <c r="E75" s="541">
        <f>HLOOKUP("start",ESLData!F$1:F$9983,MATCH($A75,ESLData!$B$1:$B$9983,0))*-1</f>
        <v>350</v>
      </c>
      <c r="G75" s="541">
        <f>HLOOKUP("start",ESLData!H$1:H$9983,MATCH($A75,ESLData!$B$1:$B$9983,0))*-1</f>
        <v>333.9</v>
      </c>
    </row>
    <row r="76" spans="1:8" x14ac:dyDescent="0.2">
      <c r="A76" s="540">
        <v>23200</v>
      </c>
      <c r="C76" s="541">
        <f>HLOOKUP("start",ESLData!E$1:E$9983,MATCH($A76,ESLData!$B$1:$B$9983,0))*-1</f>
        <v>8834.73</v>
      </c>
      <c r="E76" s="541">
        <f>HLOOKUP("start",ESLData!F$1:F$9983,MATCH($A76,ESLData!$B$1:$B$9983,0))*-1</f>
        <v>20000</v>
      </c>
      <c r="G76" s="541">
        <f>HLOOKUP("start",ESLData!H$1:H$9983,MATCH($A76,ESLData!$B$1:$B$9983,0))*-1</f>
        <v>19101.32</v>
      </c>
    </row>
    <row r="77" spans="1:8" x14ac:dyDescent="0.2">
      <c r="A77" s="540">
        <v>23400</v>
      </c>
      <c r="C77" s="541">
        <f>HLOOKUP("start",ESLData!E$1:E$9983,MATCH($A77,ESLData!$B$1:$B$9983,0))*-1</f>
        <v>7343.22</v>
      </c>
      <c r="E77" s="541">
        <f>HLOOKUP("start",ESLData!F$1:F$9983,MATCH($A77,ESLData!$B$1:$B$9983,0))*-1</f>
        <v>4500</v>
      </c>
      <c r="G77" s="541">
        <f>HLOOKUP("start",ESLData!H$1:H$9983,MATCH($A77,ESLData!$B$1:$B$9983,0))*-1</f>
        <v>9633.65</v>
      </c>
    </row>
    <row r="78" spans="1:8" x14ac:dyDescent="0.2">
      <c r="A78" s="540">
        <v>23600</v>
      </c>
      <c r="C78" s="541">
        <f>HLOOKUP("start",ESLData!E$1:E$9983,MATCH($A78,ESLData!$B$1:$B$9983,0))*-1</f>
        <v>0</v>
      </c>
      <c r="E78" s="541">
        <f>HLOOKUP("start",ESLData!F$1:F$9983,MATCH($A78,ESLData!$B$1:$B$9983,0))*-1</f>
        <v>0</v>
      </c>
      <c r="G78" s="541">
        <f>HLOOKUP("start",ESLData!H$1:H$9983,MATCH($A78,ESLData!$B$1:$B$9983,0))*-1</f>
        <v>0</v>
      </c>
    </row>
    <row r="79" spans="1:8" x14ac:dyDescent="0.2">
      <c r="A79" s="540">
        <v>24000</v>
      </c>
      <c r="C79" s="541">
        <f>HLOOKUP("start",ESLData!E$1:E$9983,MATCH($A79,ESLData!$B$1:$B$9983,0))*-1</f>
        <v>0</v>
      </c>
      <c r="E79" s="541">
        <f>HLOOKUP("start",ESLData!F$1:F$9983,MATCH($A79,ESLData!$B$1:$B$9983,0))*-1</f>
        <v>0</v>
      </c>
      <c r="G79" s="541">
        <f>HLOOKUP("start",ESLData!H$1:H$9983,MATCH($A79,ESLData!$B$1:$B$9983,0))*-1</f>
        <v>0</v>
      </c>
    </row>
    <row r="80" spans="1:8" x14ac:dyDescent="0.2">
      <c r="A80" s="540">
        <v>24200</v>
      </c>
      <c r="C80" s="541">
        <f>HLOOKUP("start",ESLData!E$1:E$9983,MATCH($A80,ESLData!$B$1:$B$9983,0))*-1</f>
        <v>2248.87</v>
      </c>
      <c r="E80" s="541">
        <f>HLOOKUP("start",ESLData!F$1:F$9983,MATCH($A80,ESLData!$B$1:$B$9983,0))*-1</f>
        <v>1000</v>
      </c>
      <c r="G80" s="541">
        <f>HLOOKUP("start",ESLData!H$1:H$9983,MATCH($A80,ESLData!$B$1:$B$9983,0))*-1</f>
        <v>2466.7199999999998</v>
      </c>
    </row>
    <row r="81" spans="1:8" x14ac:dyDescent="0.2">
      <c r="A81" s="540">
        <v>24400</v>
      </c>
      <c r="C81" s="541">
        <f>HLOOKUP("start",ESLData!E$1:E$9983,MATCH($A81,ESLData!$B$1:$B$9983,0))*-1</f>
        <v>37383.79</v>
      </c>
      <c r="E81" s="541">
        <f>HLOOKUP("start",ESLData!F$1:F$9983,MATCH($A81,ESLData!$B$1:$B$9983,0))*-1</f>
        <v>7148</v>
      </c>
      <c r="G81" s="541">
        <f>HLOOKUP("start",ESLData!H$1:H$9983,MATCH($A81,ESLData!$B$1:$B$9983,0))*-1</f>
        <v>33491.97</v>
      </c>
    </row>
    <row r="82" spans="1:8" x14ac:dyDescent="0.2">
      <c r="A82" s="540">
        <v>24600</v>
      </c>
      <c r="C82" s="541">
        <f>HLOOKUP("start",ESLData!E$1:E$9983,MATCH($A82,ESLData!$B$1:$B$9983,0))*-1</f>
        <v>161.72999999999999</v>
      </c>
      <c r="E82" s="541">
        <f>HLOOKUP("start",ESLData!F$1:F$9983,MATCH($A82,ESLData!$B$1:$B$9983,0))*-1</f>
        <v>0</v>
      </c>
      <c r="G82" s="541">
        <f>HLOOKUP("start",ESLData!H$1:H$9983,MATCH($A82,ESLData!$B$1:$B$9983,0))*-1</f>
        <v>0</v>
      </c>
    </row>
    <row r="83" spans="1:8" x14ac:dyDescent="0.2">
      <c r="A83" s="540">
        <v>24700</v>
      </c>
      <c r="C83" s="541">
        <f>HLOOKUP("start",ESLData!E$1:E$9983,MATCH($A83,ESLData!$B$1:$B$9983,0))*-1</f>
        <v>173.86</v>
      </c>
      <c r="E83" s="541">
        <f>HLOOKUP("start",ESLData!F$1:F$9983,MATCH($A83,ESLData!$B$1:$B$9983,0))*-1</f>
        <v>0</v>
      </c>
      <c r="G83" s="541">
        <f>HLOOKUP("start",ESLData!H$1:H$9983,MATCH($A83,ESLData!$B$1:$B$9983,0))*-1</f>
        <v>0</v>
      </c>
    </row>
    <row r="84" spans="1:8" x14ac:dyDescent="0.2">
      <c r="A84" s="540">
        <v>24800</v>
      </c>
      <c r="C84" s="541">
        <f>HLOOKUP("start",ESLData!E$1:E$9983,MATCH($A84,ESLData!$B$1:$B$9983,0))*-1</f>
        <v>0</v>
      </c>
      <c r="E84" s="541">
        <f>HLOOKUP("start",ESLData!F$1:F$9983,MATCH($A84,ESLData!$B$1:$B$9983,0))*-1</f>
        <v>0</v>
      </c>
      <c r="G84" s="541">
        <f>HLOOKUP("start",ESLData!H$1:H$9983,MATCH($A84,ESLData!$B$1:$B$9983,0))*-1</f>
        <v>0</v>
      </c>
    </row>
    <row r="85" spans="1:8" x14ac:dyDescent="0.2">
      <c r="A85" s="540">
        <v>24802</v>
      </c>
      <c r="C85" s="541">
        <f>HLOOKUP("start",ESLData!E$1:E$9983,MATCH($A85,ESLData!$B$1:$B$9983,0))*-1</f>
        <v>1405.86</v>
      </c>
      <c r="E85" s="541">
        <f>HLOOKUP("start",ESLData!F$1:F$9983,MATCH($A85,ESLData!$B$1:$B$9983,0))*-1</f>
        <v>1500</v>
      </c>
      <c r="G85" s="541">
        <f>HLOOKUP("start",ESLData!H$1:H$9983,MATCH($A85,ESLData!$B$1:$B$9983,0))*-1</f>
        <v>1906.06</v>
      </c>
    </row>
    <row r="86" spans="1:8" x14ac:dyDescent="0.2">
      <c r="A86" s="540">
        <v>24820</v>
      </c>
      <c r="C86" s="541">
        <f>HLOOKUP("start",ESLData!E$1:E$9983,MATCH($A86,ESLData!$B$1:$B$9983,0))*-1</f>
        <v>469.56</v>
      </c>
      <c r="E86" s="541">
        <f>HLOOKUP("start",ESLData!F$1:F$9983,MATCH($A86,ESLData!$B$1:$B$9983,0))*-1</f>
        <v>1000</v>
      </c>
      <c r="G86" s="541">
        <f>HLOOKUP("start",ESLData!H$1:H$9983,MATCH($A86,ESLData!$B$1:$B$9983,0))*-1</f>
        <v>0</v>
      </c>
    </row>
    <row r="87" spans="1:8" x14ac:dyDescent="0.2">
      <c r="A87" s="540">
        <v>24830</v>
      </c>
      <c r="C87" s="541">
        <f>HLOOKUP("start",ESLData!E$1:E$9983,MATCH($A87,ESLData!$B$1:$B$9983,0))*-1</f>
        <v>29578.98</v>
      </c>
      <c r="E87" s="541">
        <f>HLOOKUP("start",ESLData!F$1:F$9983,MATCH($A87,ESLData!$B$1:$B$9983,0))*-1</f>
        <v>14295</v>
      </c>
      <c r="G87" s="541">
        <f>HLOOKUP("start",ESLData!H$1:H$9983,MATCH($A87,ESLData!$B$1:$B$9983,0))*-1</f>
        <v>24203.45</v>
      </c>
    </row>
    <row r="88" spans="1:8" x14ac:dyDescent="0.2">
      <c r="A88" s="540">
        <v>24840</v>
      </c>
      <c r="C88" s="541">
        <f>HLOOKUP("start",ESLData!E$1:E$9983,MATCH($A88,ESLData!$B$1:$B$9983,0))*-1</f>
        <v>792.76</v>
      </c>
      <c r="E88" s="541">
        <f>HLOOKUP("start",ESLData!F$1:F$9983,MATCH($A88,ESLData!$B$1:$B$9983,0))*-1</f>
        <v>750</v>
      </c>
      <c r="G88" s="541">
        <f>HLOOKUP("start",ESLData!H$1:H$9983,MATCH($A88,ESLData!$B$1:$B$9983,0))*-1</f>
        <v>983.75</v>
      </c>
    </row>
    <row r="89" spans="1:8" x14ac:dyDescent="0.2">
      <c r="A89" s="540">
        <v>24850</v>
      </c>
      <c r="C89" s="541">
        <f>HLOOKUP("start",ESLData!E$1:E$9983,MATCH($A89,ESLData!$B$1:$B$9983,0))*-1</f>
        <v>1455.82</v>
      </c>
      <c r="E89" s="541">
        <f>HLOOKUP("start",ESLData!F$1:F$9983,MATCH($A89,ESLData!$B$1:$B$9983,0))*-1</f>
        <v>1800</v>
      </c>
      <c r="G89" s="541">
        <f>HLOOKUP("start",ESLData!H$1:H$9983,MATCH($A89,ESLData!$B$1:$B$9983,0))*-1</f>
        <v>969.86</v>
      </c>
    </row>
    <row r="90" spans="1:8" x14ac:dyDescent="0.2">
      <c r="A90" s="540">
        <v>24860</v>
      </c>
      <c r="C90" s="541">
        <f>HLOOKUP("start",ESLData!E$1:E$9983,MATCH($A90,ESLData!$B$1:$B$9983,0))*-1</f>
        <v>21233.39</v>
      </c>
      <c r="E90" s="541">
        <f>HLOOKUP("start",ESLData!F$1:F$9983,MATCH($A90,ESLData!$B$1:$B$9983,0))*-1</f>
        <v>0</v>
      </c>
      <c r="G90" s="541">
        <f>HLOOKUP("start",ESLData!H$1:H$9983,MATCH($A90,ESLData!$B$1:$B$9983,0))*-1</f>
        <v>7288.33</v>
      </c>
    </row>
    <row r="91" spans="1:8" x14ac:dyDescent="0.2">
      <c r="A91" s="540">
        <v>24870</v>
      </c>
      <c r="C91" s="541">
        <f>HLOOKUP("start",ESLData!E$1:E$9983,MATCH($A91,ESLData!$B$1:$B$9983,0))*-1</f>
        <v>3956.71</v>
      </c>
      <c r="E91" s="541">
        <f>HLOOKUP("start",ESLData!F$1:F$9983,MATCH($A91,ESLData!$B$1:$B$9983,0))*-1</f>
        <v>14713</v>
      </c>
      <c r="G91" s="541">
        <f>HLOOKUP("start",ESLData!H$1:H$9983,MATCH($A91,ESLData!$B$1:$B$9983,0))*-1</f>
        <v>5368.76</v>
      </c>
    </row>
    <row r="92" spans="1:8" x14ac:dyDescent="0.2">
      <c r="A92" s="540">
        <v>24880</v>
      </c>
      <c r="C92" s="541">
        <f>HLOOKUP("start",ESLData!E$1:E$9983,MATCH($A92,ESLData!$B$1:$B$9983,0))*-1</f>
        <v>13905.26</v>
      </c>
      <c r="E92" s="541">
        <f>HLOOKUP("start",ESLData!F$1:F$9983,MATCH($A92,ESLData!$B$1:$B$9983,0))*-1</f>
        <v>14295</v>
      </c>
      <c r="G92" s="541">
        <f>HLOOKUP("start",ESLData!H$1:H$9983,MATCH($A92,ESLData!$B$1:$B$9983,0))*-1</f>
        <v>15651.21</v>
      </c>
    </row>
    <row r="93" spans="1:8" x14ac:dyDescent="0.2">
      <c r="A93" s="540">
        <v>24890</v>
      </c>
      <c r="C93" s="541">
        <f>HLOOKUP("start",ESLData!E$1:E$9983,MATCH($A93,ESLData!$B$1:$B$9983,0))*-1</f>
        <v>12568.7</v>
      </c>
      <c r="E93" s="541">
        <f>HLOOKUP("start",ESLData!F$1:F$9983,MATCH($A93,ESLData!$B$1:$B$9983,0))*-1</f>
        <v>12734</v>
      </c>
      <c r="G93" s="541">
        <f>HLOOKUP("start",ESLData!H$1:H$9983,MATCH($A93,ESLData!$B$1:$B$9983,0))*-1</f>
        <v>12584.72</v>
      </c>
    </row>
    <row r="94" spans="1:8" x14ac:dyDescent="0.2">
      <c r="A94" s="540">
        <v>24900</v>
      </c>
      <c r="C94" s="541">
        <f>HLOOKUP("start",ESLData!E$1:E$9983,MATCH($A94,ESLData!$B$1:$B$9983,0))*-1</f>
        <v>33616.21</v>
      </c>
      <c r="D94" s="542">
        <f>SUM(C72:C94)</f>
        <v>176411.13</v>
      </c>
      <c r="E94" s="541">
        <f>HLOOKUP("start",ESLData!F$1:F$9983,MATCH($A94,ESLData!$B$1:$B$9983,0))*-1</f>
        <v>15091</v>
      </c>
      <c r="F94" s="542">
        <f>SUM(E72:E94)</f>
        <v>110176</v>
      </c>
      <c r="G94" s="541">
        <f>HLOOKUP("start",ESLData!H$1:H$9983,MATCH($A94,ESLData!$B$1:$B$9983,0))*-1</f>
        <v>12447.34</v>
      </c>
      <c r="H94" s="542">
        <f>SUM(G72:G94)</f>
        <v>148448.29999999999</v>
      </c>
    </row>
    <row r="95" spans="1:8" x14ac:dyDescent="0.2">
      <c r="A95" s="538" t="s">
        <v>605</v>
      </c>
      <c r="C95" s="541"/>
      <c r="E95" s="541"/>
      <c r="G95" s="541"/>
    </row>
    <row r="96" spans="1:8" x14ac:dyDescent="0.2">
      <c r="A96" s="540">
        <v>21900</v>
      </c>
      <c r="C96" s="541">
        <f>HLOOKUP("start",ESLData!E$1:E$9983,MATCH($A96,ESLData!$B$1:$B$9983,0))</f>
        <v>0</v>
      </c>
      <c r="E96" s="541">
        <f>HLOOKUP("start",ESLData!F$1:F$9983,MATCH($A96,ESLData!$B$1:$B$9983,0))</f>
        <v>0</v>
      </c>
      <c r="G96" s="541">
        <f>HLOOKUP("start",ESLData!H$1:H$9983,MATCH($A96,ESLData!$B$1:$B$9983,0))</f>
        <v>0</v>
      </c>
    </row>
    <row r="97" spans="1:7" x14ac:dyDescent="0.2">
      <c r="A97" s="540">
        <v>22100</v>
      </c>
      <c r="C97" s="541">
        <f>HLOOKUP("start",ESLData!E$1:E$9983,MATCH($A97,ESLData!$B$1:$B$9983,0))</f>
        <v>820</v>
      </c>
      <c r="E97" s="541">
        <f>HLOOKUP("start",ESLData!F$1:F$9983,MATCH($A97,ESLData!$B$1:$B$9983,0))</f>
        <v>1000</v>
      </c>
      <c r="G97" s="541">
        <f>HLOOKUP("start",ESLData!H$1:H$9983,MATCH($A97,ESLData!$B$1:$B$9983,0))</f>
        <v>1421.73</v>
      </c>
    </row>
    <row r="98" spans="1:7" x14ac:dyDescent="0.2">
      <c r="A98" s="540">
        <v>22300</v>
      </c>
      <c r="C98" s="541">
        <f>HLOOKUP("start",ESLData!E$1:E$9983,MATCH($A98,ESLData!$B$1:$B$9983,0))</f>
        <v>3272.52</v>
      </c>
      <c r="E98" s="541">
        <f>HLOOKUP("start",ESLData!F$1:F$9983,MATCH($A98,ESLData!$B$1:$B$9983,0))</f>
        <v>0</v>
      </c>
      <c r="G98" s="541">
        <f>HLOOKUP("start",ESLData!H$1:H$9983,MATCH($A98,ESLData!$B$1:$B$9983,0))</f>
        <v>4044.69</v>
      </c>
    </row>
    <row r="99" spans="1:7" x14ac:dyDescent="0.2">
      <c r="A99" s="540">
        <v>22500</v>
      </c>
      <c r="C99" s="541">
        <f>HLOOKUP("start",ESLData!E$1:E$9983,MATCH($A99,ESLData!$B$1:$B$9983,0))</f>
        <v>0</v>
      </c>
      <c r="E99" s="541">
        <f>HLOOKUP("start",ESLData!F$1:F$9983,MATCH($A99,ESLData!$B$1:$B$9983,0))</f>
        <v>0</v>
      </c>
      <c r="G99" s="541">
        <f>HLOOKUP("start",ESLData!H$1:H$9983,MATCH($A99,ESLData!$B$1:$B$9983,0))</f>
        <v>0</v>
      </c>
    </row>
    <row r="100" spans="1:7" x14ac:dyDescent="0.2">
      <c r="A100" s="540">
        <v>23300</v>
      </c>
      <c r="C100" s="541">
        <f>HLOOKUP("start",ESLData!E$1:E$9983,MATCH($A100,ESLData!$B$1:$B$9983,0))</f>
        <v>3801.34</v>
      </c>
      <c r="E100" s="541">
        <f>HLOOKUP("start",ESLData!F$1:F$9983,MATCH($A100,ESLData!$B$1:$B$9983,0))</f>
        <v>7000</v>
      </c>
      <c r="G100" s="541">
        <f>HLOOKUP("start",ESLData!H$1:H$9983,MATCH($A100,ESLData!$B$1:$B$9983,0))</f>
        <v>9457.26</v>
      </c>
    </row>
    <row r="101" spans="1:7" x14ac:dyDescent="0.2">
      <c r="A101" s="540">
        <v>23500</v>
      </c>
      <c r="C101" s="541">
        <f>HLOOKUP("start",ESLData!E$1:E$9983,MATCH($A101,ESLData!$B$1:$B$9983,0))</f>
        <v>0</v>
      </c>
      <c r="E101" s="541">
        <f>HLOOKUP("start",ESLData!F$1:F$9983,MATCH($A101,ESLData!$B$1:$B$9983,0))</f>
        <v>0</v>
      </c>
      <c r="G101" s="541">
        <f>HLOOKUP("start",ESLData!H$1:H$9983,MATCH($A101,ESLData!$B$1:$B$9983,0))</f>
        <v>563.73</v>
      </c>
    </row>
    <row r="102" spans="1:7" x14ac:dyDescent="0.2">
      <c r="A102" s="540">
        <v>23700</v>
      </c>
      <c r="C102" s="541">
        <f>HLOOKUP("start",ESLData!E$1:E$9983,MATCH($A102,ESLData!$B$1:$B$9983,0))</f>
        <v>0</v>
      </c>
      <c r="E102" s="541">
        <f>HLOOKUP("start",ESLData!F$1:F$9983,MATCH($A102,ESLData!$B$1:$B$9983,0))</f>
        <v>0</v>
      </c>
      <c r="G102" s="541">
        <f>HLOOKUP("start",ESLData!H$1:H$9983,MATCH($A102,ESLData!$B$1:$B$9983,0))</f>
        <v>0</v>
      </c>
    </row>
    <row r="103" spans="1:7" x14ac:dyDescent="0.2">
      <c r="A103" s="540">
        <v>24100</v>
      </c>
      <c r="C103" s="541">
        <f>HLOOKUP("start",ESLData!E$1:E$9983,MATCH($A103,ESLData!$B$1:$B$9983,0))</f>
        <v>0</v>
      </c>
      <c r="E103" s="541">
        <f>HLOOKUP("start",ESLData!F$1:F$9983,MATCH($A103,ESLData!$B$1:$B$9983,0))</f>
        <v>0</v>
      </c>
      <c r="G103" s="541">
        <f>HLOOKUP("start",ESLData!H$1:H$9983,MATCH($A103,ESLData!$B$1:$B$9983,0))</f>
        <v>0</v>
      </c>
    </row>
    <row r="104" spans="1:7" x14ac:dyDescent="0.2">
      <c r="A104" s="540">
        <v>24300</v>
      </c>
      <c r="C104" s="541">
        <f>HLOOKUP("start",ESLData!E$1:E$9983,MATCH($A104,ESLData!$B$1:$B$9983,0))</f>
        <v>2162.73</v>
      </c>
      <c r="E104" s="541">
        <f>HLOOKUP("start",ESLData!F$1:F$9983,MATCH($A104,ESLData!$B$1:$B$9983,0))</f>
        <v>1000</v>
      </c>
      <c r="G104" s="541">
        <f>HLOOKUP("start",ESLData!H$1:H$9983,MATCH($A104,ESLData!$B$1:$B$9983,0))</f>
        <v>1101.8499999999999</v>
      </c>
    </row>
    <row r="105" spans="1:7" x14ac:dyDescent="0.2">
      <c r="A105" s="540">
        <v>24500</v>
      </c>
      <c r="C105" s="541">
        <f>HLOOKUP("start",ESLData!E$1:E$9983,MATCH($A105,ESLData!$B$1:$B$9983,0))</f>
        <v>1397.65</v>
      </c>
      <c r="E105" s="541">
        <f>HLOOKUP("start",ESLData!F$1:F$9983,MATCH($A105,ESLData!$B$1:$B$9983,0))</f>
        <v>7148</v>
      </c>
      <c r="G105" s="541">
        <f>HLOOKUP("start",ESLData!H$1:H$9983,MATCH($A105,ESLData!$B$1:$B$9983,0))</f>
        <v>21817.97</v>
      </c>
    </row>
    <row r="106" spans="1:7" x14ac:dyDescent="0.2">
      <c r="A106" s="540">
        <v>24650</v>
      </c>
      <c r="C106" s="541">
        <f>HLOOKUP("start",ESLData!E$1:E$9983,MATCH($A106,ESLData!$B$1:$B$9983,0))</f>
        <v>2718.63</v>
      </c>
      <c r="E106" s="541">
        <f>HLOOKUP("start",ESLData!F$1:F$9983,MATCH($A106,ESLData!$B$1:$B$9983,0))</f>
        <v>0</v>
      </c>
      <c r="G106" s="541">
        <f>HLOOKUP("start",ESLData!H$1:H$9983,MATCH($A106,ESLData!$B$1:$B$9983,0))</f>
        <v>38948.78</v>
      </c>
    </row>
    <row r="107" spans="1:7" x14ac:dyDescent="0.2">
      <c r="A107" s="540">
        <v>24750</v>
      </c>
      <c r="C107" s="541">
        <f>HLOOKUP("start",ESLData!E$1:E$9983,MATCH($A107,ESLData!$B$1:$B$9983,0))</f>
        <v>128.6</v>
      </c>
      <c r="E107" s="541">
        <f>HLOOKUP("start",ESLData!F$1:F$9983,MATCH($A107,ESLData!$B$1:$B$9983,0))</f>
        <v>0</v>
      </c>
      <c r="G107" s="541">
        <f>HLOOKUP("start",ESLData!H$1:H$9983,MATCH($A107,ESLData!$B$1:$B$9983,0))</f>
        <v>0</v>
      </c>
    </row>
    <row r="108" spans="1:7" x14ac:dyDescent="0.2">
      <c r="A108" s="540">
        <v>24801</v>
      </c>
      <c r="C108" s="541">
        <f>HLOOKUP("start",ESLData!E$1:E$9983,MATCH($A108,ESLData!$B$1:$B$9983,0))</f>
        <v>0</v>
      </c>
      <c r="E108" s="541">
        <f>HLOOKUP("start",ESLData!F$1:F$9983,MATCH($A108,ESLData!$B$1:$B$9983,0))</f>
        <v>0</v>
      </c>
      <c r="G108" s="541">
        <f>HLOOKUP("start",ESLData!H$1:H$9983,MATCH($A108,ESLData!$B$1:$B$9983,0))</f>
        <v>0</v>
      </c>
    </row>
    <row r="109" spans="1:7" x14ac:dyDescent="0.2">
      <c r="A109" s="540">
        <v>24803</v>
      </c>
      <c r="C109" s="541">
        <f>HLOOKUP("start",ESLData!E$1:E$9983,MATCH($A109,ESLData!$B$1:$B$9983,0))</f>
        <v>35.799999999999997</v>
      </c>
      <c r="E109" s="541">
        <f>HLOOKUP("start",ESLData!F$1:F$9983,MATCH($A109,ESLData!$B$1:$B$9983,0))</f>
        <v>1500</v>
      </c>
      <c r="G109" s="541">
        <f>HLOOKUP("start",ESLData!H$1:H$9983,MATCH($A109,ESLData!$B$1:$B$9983,0))</f>
        <v>74</v>
      </c>
    </row>
    <row r="110" spans="1:7" x14ac:dyDescent="0.2">
      <c r="A110" s="540">
        <v>24821</v>
      </c>
      <c r="C110" s="541">
        <f>HLOOKUP("start",ESLData!E$1:E$9983,MATCH($A110,ESLData!$B$1:$B$9983,0))</f>
        <v>228.07</v>
      </c>
      <c r="E110" s="541">
        <f>HLOOKUP("start",ESLData!F$1:F$9983,MATCH($A110,ESLData!$B$1:$B$9983,0))</f>
        <v>1000</v>
      </c>
      <c r="G110" s="541">
        <f>HLOOKUP("start",ESLData!H$1:H$9983,MATCH($A110,ESLData!$B$1:$B$9983,0))</f>
        <v>126.6</v>
      </c>
    </row>
    <row r="111" spans="1:7" x14ac:dyDescent="0.2">
      <c r="A111" s="540">
        <v>24831</v>
      </c>
      <c r="C111" s="541">
        <f>HLOOKUP("start",ESLData!E$1:E$9983,MATCH($A111,ESLData!$B$1:$B$9983,0))</f>
        <v>15187.3</v>
      </c>
      <c r="E111" s="541">
        <f>HLOOKUP("start",ESLData!F$1:F$9983,MATCH($A111,ESLData!$B$1:$B$9983,0))</f>
        <v>14295</v>
      </c>
      <c r="G111" s="541">
        <f>HLOOKUP("start",ESLData!H$1:H$9983,MATCH($A111,ESLData!$B$1:$B$9983,0))</f>
        <v>17367.91</v>
      </c>
    </row>
    <row r="112" spans="1:7" x14ac:dyDescent="0.2">
      <c r="A112" s="540">
        <v>24841</v>
      </c>
      <c r="C112" s="541">
        <f>HLOOKUP("start",ESLData!E$1:E$9983,MATCH($A112,ESLData!$B$1:$B$9983,0))</f>
        <v>272.58999999999997</v>
      </c>
      <c r="E112" s="541">
        <f>HLOOKUP("start",ESLData!F$1:F$9983,MATCH($A112,ESLData!$B$1:$B$9983,0))</f>
        <v>750</v>
      </c>
      <c r="G112" s="541">
        <f>HLOOKUP("start",ESLData!H$1:H$9983,MATCH($A112,ESLData!$B$1:$B$9983,0))</f>
        <v>-3525.96</v>
      </c>
    </row>
    <row r="113" spans="1:8" x14ac:dyDescent="0.2">
      <c r="A113" s="540">
        <v>24851</v>
      </c>
      <c r="C113" s="541">
        <f>HLOOKUP("start",ESLData!E$1:E$9983,MATCH($A113,ESLData!$B$1:$B$9983,0))</f>
        <v>1132.55</v>
      </c>
      <c r="E113" s="541">
        <f>HLOOKUP("start",ESLData!F$1:F$9983,MATCH($A113,ESLData!$B$1:$B$9983,0))</f>
        <v>1800</v>
      </c>
      <c r="G113" s="541">
        <f>HLOOKUP("start",ESLData!H$1:H$9983,MATCH($A113,ESLData!$B$1:$B$9983,0))</f>
        <v>1183.51</v>
      </c>
    </row>
    <row r="114" spans="1:8" x14ac:dyDescent="0.2">
      <c r="A114" s="540">
        <v>24861</v>
      </c>
      <c r="C114" s="541">
        <f>HLOOKUP("start",ESLData!E$1:E$9983,MATCH($A114,ESLData!$B$1:$B$9983,0))</f>
        <v>14821.66</v>
      </c>
      <c r="E114" s="541">
        <f>HLOOKUP("start",ESLData!F$1:F$9983,MATCH($A114,ESLData!$B$1:$B$9983,0))</f>
        <v>0</v>
      </c>
      <c r="G114" s="541">
        <f>HLOOKUP("start",ESLData!H$1:H$9983,MATCH($A114,ESLData!$B$1:$B$9983,0))</f>
        <v>2554.87</v>
      </c>
    </row>
    <row r="115" spans="1:8" x14ac:dyDescent="0.2">
      <c r="A115" s="540">
        <v>24871</v>
      </c>
      <c r="C115" s="541">
        <f>HLOOKUP("start",ESLData!E$1:E$9983,MATCH($A115,ESLData!$B$1:$B$9983,0))</f>
        <v>855.21</v>
      </c>
      <c r="E115" s="541">
        <f>HLOOKUP("start",ESLData!F$1:F$9983,MATCH($A115,ESLData!$B$1:$B$9983,0))</f>
        <v>14295</v>
      </c>
      <c r="G115" s="541">
        <f>HLOOKUP("start",ESLData!H$1:H$9983,MATCH($A115,ESLData!$B$1:$B$9983,0))</f>
        <v>819.68</v>
      </c>
    </row>
    <row r="116" spans="1:8" x14ac:dyDescent="0.2">
      <c r="A116" s="540">
        <v>24881</v>
      </c>
      <c r="C116" s="541">
        <f>HLOOKUP("start",ESLData!E$1:E$9983,MATCH($A116,ESLData!$B$1:$B$9983,0))</f>
        <v>13248.84</v>
      </c>
      <c r="E116" s="541">
        <f>HLOOKUP("start",ESLData!F$1:F$9983,MATCH($A116,ESLData!$B$1:$B$9983,0))</f>
        <v>14295</v>
      </c>
      <c r="G116" s="541">
        <f>HLOOKUP("start",ESLData!H$1:H$9983,MATCH($A116,ESLData!$B$1:$B$9983,0))</f>
        <v>10763.69</v>
      </c>
    </row>
    <row r="117" spans="1:8" x14ac:dyDescent="0.2">
      <c r="A117" s="540">
        <v>24891</v>
      </c>
      <c r="C117" s="541">
        <f>HLOOKUP("start",ESLData!E$1:E$9983,MATCH($A117,ESLData!$B$1:$B$9983,0))</f>
        <v>14522.72</v>
      </c>
      <c r="E117" s="541">
        <f>HLOOKUP("start",ESLData!F$1:F$9983,MATCH($A117,ESLData!$B$1:$B$9983,0))</f>
        <v>12734</v>
      </c>
      <c r="G117" s="541">
        <f>HLOOKUP("start",ESLData!H$1:H$9983,MATCH($A117,ESLData!$B$1:$B$9983,0))</f>
        <v>15412.33</v>
      </c>
    </row>
    <row r="118" spans="1:8" x14ac:dyDescent="0.2">
      <c r="A118" s="540">
        <v>24901</v>
      </c>
      <c r="C118" s="541">
        <f>HLOOKUP("start",ESLData!E$1:E$9983,MATCH($A118,ESLData!$B$1:$B$9983,0))</f>
        <v>25545.62</v>
      </c>
      <c r="D118" s="542">
        <f>SUM(C96:C118)</f>
        <v>100151.83</v>
      </c>
      <c r="E118" s="541">
        <f>HLOOKUP("start",ESLData!F$1:F$9983,MATCH($A118,ESLData!$B$1:$B$9983,0))</f>
        <v>15091</v>
      </c>
      <c r="F118" s="542">
        <f>SUM(E96:E118)</f>
        <v>91908</v>
      </c>
      <c r="G118" s="541">
        <f>HLOOKUP("start",ESLData!H$1:H$9983,MATCH($A118,ESLData!$B$1:$B$9983,0))</f>
        <v>20363.47</v>
      </c>
      <c r="H118" s="542">
        <f>SUM(G96:G118)</f>
        <v>142496.10999999999</v>
      </c>
    </row>
    <row r="119" spans="1:8" x14ac:dyDescent="0.2">
      <c r="A119" s="538" t="s">
        <v>816</v>
      </c>
      <c r="C119" s="541"/>
      <c r="E119" s="541"/>
      <c r="G119" s="541"/>
    </row>
    <row r="120" spans="1:8" x14ac:dyDescent="0.2">
      <c r="A120" s="540">
        <v>10530</v>
      </c>
      <c r="C120" s="541">
        <f>HLOOKUP("start",ESLData!E$1:E$9983,MATCH($A120,ESLData!$B$1:$B$9983,0))*-1</f>
        <v>276158.87</v>
      </c>
      <c r="E120" s="541">
        <f>HLOOKUP("start",ESLData!F$1:F$9983,MATCH($A120,ESLData!$B$1:$B$9983,0))*-1</f>
        <v>140000</v>
      </c>
      <c r="G120" s="541">
        <f>HLOOKUP("start",ESLData!H$1:H$9983,MATCH($A120,ESLData!$B$1:$B$9983,0))*-1</f>
        <v>229862.37</v>
      </c>
    </row>
    <row r="121" spans="1:8" x14ac:dyDescent="0.2">
      <c r="A121" s="546" t="s">
        <v>864</v>
      </c>
      <c r="C121" s="541"/>
      <c r="E121" s="541"/>
      <c r="G121" s="541"/>
    </row>
    <row r="122" spans="1:8" x14ac:dyDescent="0.2">
      <c r="A122" s="538" t="s">
        <v>826</v>
      </c>
      <c r="C122" s="541"/>
      <c r="E122" s="541"/>
      <c r="G122" s="541"/>
    </row>
    <row r="123" spans="1:8" x14ac:dyDescent="0.2">
      <c r="A123" s="540">
        <v>30520</v>
      </c>
      <c r="C123" s="541">
        <f>HLOOKUP("start",ESLData!E$1:E$9983,MATCH($A123,ESLData!$B$1:$B$9983,0))</f>
        <v>8.41</v>
      </c>
      <c r="E123" s="541">
        <f>HLOOKUP("start",ESLData!F$1:F$9983,MATCH($A123,ESLData!$B$1:$B$9983,0))</f>
        <v>0</v>
      </c>
      <c r="G123" s="541">
        <f>HLOOKUP("start",ESLData!H$1:H$9983,MATCH($A123,ESLData!$B$1:$B$9983,0))</f>
        <v>0</v>
      </c>
    </row>
    <row r="124" spans="1:8" x14ac:dyDescent="0.2">
      <c r="A124" s="540">
        <v>30521</v>
      </c>
      <c r="C124" s="541">
        <f>HLOOKUP("start",ESLData!E$1:E$9983,MATCH($A124,ESLData!$B$1:$B$9983,0))</f>
        <v>7285.02</v>
      </c>
      <c r="E124" s="541">
        <f>HLOOKUP("start",ESLData!F$1:F$9983,MATCH($A124,ESLData!$B$1:$B$9983,0))</f>
        <v>8000</v>
      </c>
      <c r="G124" s="541">
        <f>HLOOKUP("start",ESLData!H$1:H$9983,MATCH($A124,ESLData!$B$1:$B$9983,0))</f>
        <v>7209.06</v>
      </c>
    </row>
    <row r="125" spans="1:8" x14ac:dyDescent="0.2">
      <c r="A125" s="540">
        <v>30522</v>
      </c>
      <c r="C125" s="541">
        <f>HLOOKUP("start",ESLData!E$1:E$9983,MATCH($A125,ESLData!$B$1:$B$9983,0))</f>
        <v>0</v>
      </c>
      <c r="E125" s="541">
        <f>HLOOKUP("start",ESLData!F$1:F$9983,MATCH($A125,ESLData!$B$1:$B$9983,0))</f>
        <v>0</v>
      </c>
      <c r="G125" s="541">
        <f>HLOOKUP("start",ESLData!H$1:H$9983,MATCH($A125,ESLData!$B$1:$B$9983,0))</f>
        <v>312.52</v>
      </c>
    </row>
    <row r="126" spans="1:8" x14ac:dyDescent="0.2">
      <c r="A126" s="540">
        <v>30525</v>
      </c>
      <c r="C126" s="541">
        <f>HLOOKUP("start",ESLData!E$1:E$9983,MATCH($A126,ESLData!$B$1:$B$9983,0))</f>
        <v>1699.93</v>
      </c>
      <c r="E126" s="541">
        <f>HLOOKUP("start",ESLData!F$1:F$9983,MATCH($A126,ESLData!$B$1:$B$9983,0))</f>
        <v>3500</v>
      </c>
      <c r="G126" s="541">
        <f>HLOOKUP("start",ESLData!H$1:H$9983,MATCH($A126,ESLData!$B$1:$B$9983,0))</f>
        <v>1890.55</v>
      </c>
    </row>
    <row r="127" spans="1:8" x14ac:dyDescent="0.2">
      <c r="A127" s="540">
        <v>30530</v>
      </c>
      <c r="C127" s="541">
        <f>HLOOKUP("start",ESLData!E$1:E$9983,MATCH($A127,ESLData!$B$1:$B$9983,0))</f>
        <v>0</v>
      </c>
      <c r="E127" s="541">
        <f>HLOOKUP("start",ESLData!F$1:F$9983,MATCH($A127,ESLData!$B$1:$B$9983,0))</f>
        <v>0</v>
      </c>
      <c r="G127" s="541">
        <f>HLOOKUP("start",ESLData!H$1:H$9983,MATCH($A127,ESLData!$B$1:$B$9983,0))</f>
        <v>0</v>
      </c>
    </row>
    <row r="128" spans="1:8" x14ac:dyDescent="0.2">
      <c r="A128" s="540">
        <v>30570</v>
      </c>
      <c r="C128" s="541">
        <f>HLOOKUP("start",ESLData!E$1:E$9983,MATCH($A128,ESLData!$B$1:$B$9983,0))</f>
        <v>2084.11</v>
      </c>
      <c r="E128" s="541">
        <f>HLOOKUP("start",ESLData!F$1:F$9983,MATCH($A128,ESLData!$B$1:$B$9983,0))</f>
        <v>2500</v>
      </c>
      <c r="G128" s="541">
        <f>HLOOKUP("start",ESLData!H$1:H$9983,MATCH($A128,ESLData!$B$1:$B$9983,0))</f>
        <v>2859.58</v>
      </c>
    </row>
    <row r="129" spans="1:8" x14ac:dyDescent="0.2">
      <c r="A129" s="540">
        <v>30600</v>
      </c>
      <c r="C129" s="541">
        <f>HLOOKUP("start",ESLData!E$1:E$9983,MATCH($A129,ESLData!$B$1:$B$9983,0))</f>
        <v>1304.3399999999999</v>
      </c>
      <c r="E129" s="541">
        <f>HLOOKUP("start",ESLData!F$1:F$9983,MATCH($A129,ESLData!$B$1:$B$9983,0))</f>
        <v>2000</v>
      </c>
      <c r="G129" s="541">
        <f>HLOOKUP("start",ESLData!H$1:H$9983,MATCH($A129,ESLData!$B$1:$B$9983,0))</f>
        <v>2625.19</v>
      </c>
    </row>
    <row r="130" spans="1:8" x14ac:dyDescent="0.2">
      <c r="A130" s="540">
        <v>30610</v>
      </c>
      <c r="C130" s="541">
        <f>HLOOKUP("start",ESLData!E$1:E$9983,MATCH($A130,ESLData!$B$1:$B$9983,0))</f>
        <v>7050.84</v>
      </c>
      <c r="E130" s="541">
        <f>HLOOKUP("start",ESLData!F$1:F$9983,MATCH($A130,ESLData!$B$1:$B$9983,0))</f>
        <v>16860</v>
      </c>
      <c r="G130" s="541">
        <f>HLOOKUP("start",ESLData!H$1:H$9983,MATCH($A130,ESLData!$B$1:$B$9983,0))</f>
        <v>4351.3100000000004</v>
      </c>
    </row>
    <row r="131" spans="1:8" x14ac:dyDescent="0.2">
      <c r="A131" s="540">
        <v>30660</v>
      </c>
      <c r="C131" s="541">
        <f>HLOOKUP("start",ESLData!E$1:E$9983,MATCH($A131,ESLData!$B$1:$B$9983,0))</f>
        <v>326.44</v>
      </c>
      <c r="E131" s="541">
        <f>HLOOKUP("start",ESLData!F$1:F$9983,MATCH($A131,ESLData!$B$1:$B$9983,0))</f>
        <v>3671</v>
      </c>
      <c r="G131" s="541">
        <f>HLOOKUP("start",ESLData!H$1:H$9983,MATCH($A131,ESLData!$B$1:$B$9983,0))</f>
        <v>619.66999999999996</v>
      </c>
    </row>
    <row r="132" spans="1:8" x14ac:dyDescent="0.2">
      <c r="A132" s="540">
        <v>30695</v>
      </c>
      <c r="C132" s="541">
        <f>HLOOKUP("start",ESLData!E$1:E$9983,MATCH($A132,ESLData!$B$1:$B$9983,0))</f>
        <v>1012.72</v>
      </c>
      <c r="E132" s="541">
        <f>HLOOKUP("start",ESLData!F$1:F$9983,MATCH($A132,ESLData!$B$1:$B$9983,0))</f>
        <v>1000</v>
      </c>
      <c r="G132" s="541">
        <f>HLOOKUP("start",ESLData!H$1:H$9983,MATCH($A132,ESLData!$B$1:$B$9983,0))</f>
        <v>3351.57</v>
      </c>
    </row>
    <row r="133" spans="1:8" x14ac:dyDescent="0.2">
      <c r="A133" s="540">
        <v>30700</v>
      </c>
      <c r="C133" s="541">
        <f>HLOOKUP("start",ESLData!E$1:E$9983,MATCH($A133,ESLData!$B$1:$B$9983,0))</f>
        <v>1000.83</v>
      </c>
      <c r="E133" s="541">
        <f>HLOOKUP("start",ESLData!F$1:F$9983,MATCH($A133,ESLData!$B$1:$B$9983,0))</f>
        <v>1200</v>
      </c>
      <c r="G133" s="541">
        <f>HLOOKUP("start",ESLData!H$1:H$9983,MATCH($A133,ESLData!$B$1:$B$9983,0))</f>
        <v>1402.35</v>
      </c>
    </row>
    <row r="134" spans="1:8" x14ac:dyDescent="0.2">
      <c r="A134" s="540">
        <v>30705</v>
      </c>
      <c r="C134" s="541">
        <f>HLOOKUP("start",ESLData!E$1:E$9983,MATCH($A134,ESLData!$B$1:$B$9983,0))</f>
        <v>336</v>
      </c>
      <c r="E134" s="541">
        <f>HLOOKUP("start",ESLData!F$1:F$9983,MATCH($A134,ESLData!$B$1:$B$9983,0))</f>
        <v>350</v>
      </c>
      <c r="G134" s="541">
        <f>HLOOKUP("start",ESLData!H$1:H$9983,MATCH($A134,ESLData!$B$1:$B$9983,0))</f>
        <v>290.52</v>
      </c>
    </row>
    <row r="135" spans="1:8" x14ac:dyDescent="0.2">
      <c r="A135" s="540">
        <v>30710</v>
      </c>
      <c r="C135" s="541">
        <f>HLOOKUP("start",ESLData!E$1:E$9983,MATCH($A135,ESLData!$B$1:$B$9983,0))</f>
        <v>504.35</v>
      </c>
      <c r="D135" s="542">
        <f>SUM(C123:C135)</f>
        <v>22612.99</v>
      </c>
      <c r="E135" s="541">
        <f>HLOOKUP("start",ESLData!F$1:F$9983,MATCH($A135,ESLData!$B$1:$B$9983,0))</f>
        <v>796</v>
      </c>
      <c r="F135" s="542">
        <f>SUM(E123:E135)</f>
        <v>39877</v>
      </c>
      <c r="G135" s="541">
        <f>HLOOKUP("start",ESLData!H$1:H$9983,MATCH($A135,ESLData!$B$1:$B$9983,0))</f>
        <v>649.48</v>
      </c>
      <c r="H135" s="542">
        <f>SUM(G123:G135)</f>
        <v>25561.799999999996</v>
      </c>
    </row>
    <row r="136" spans="1:8" x14ac:dyDescent="0.2">
      <c r="A136" s="538" t="s">
        <v>606</v>
      </c>
      <c r="C136" s="541"/>
      <c r="E136" s="541"/>
      <c r="G136" s="541"/>
    </row>
    <row r="137" spans="1:8" x14ac:dyDescent="0.2">
      <c r="A137" s="540">
        <v>30100</v>
      </c>
      <c r="C137" s="541">
        <f>HLOOKUP("start",ESLData!E$1:E$9983,MATCH($A137,ESLData!$B$1:$B$9983,0))</f>
        <v>7368.24</v>
      </c>
      <c r="E137" s="541">
        <f>HLOOKUP("start",ESLData!F$1:F$9983,MATCH($A137,ESLData!$B$1:$B$9983,0))</f>
        <v>4000</v>
      </c>
      <c r="G137" s="541">
        <f>HLOOKUP("start",ESLData!H$1:H$9983,MATCH($A137,ESLData!$B$1:$B$9983,0))</f>
        <v>4394.17</v>
      </c>
    </row>
    <row r="138" spans="1:8" x14ac:dyDescent="0.2">
      <c r="A138" s="540">
        <v>30120</v>
      </c>
      <c r="C138" s="541">
        <f>HLOOKUP("start",ESLData!E$1:E$9983,MATCH($A138,ESLData!$B$1:$B$9983,0))</f>
        <v>0</v>
      </c>
      <c r="E138" s="541">
        <f>HLOOKUP("start",ESLData!F$1:F$9983,MATCH($A138,ESLData!$B$1:$B$9983,0))</f>
        <v>0</v>
      </c>
      <c r="G138" s="541">
        <f>HLOOKUP("start",ESLData!H$1:H$9983,MATCH($A138,ESLData!$B$1:$B$9983,0))</f>
        <v>0</v>
      </c>
    </row>
    <row r="139" spans="1:8" x14ac:dyDescent="0.2">
      <c r="A139" s="540">
        <v>30715</v>
      </c>
      <c r="C139" s="541">
        <f>HLOOKUP("start",ESLData!E$1:E$9983,MATCH($A139,ESLData!$B$1:$B$9983,0))</f>
        <v>0</v>
      </c>
      <c r="D139" s="542">
        <f>SUM(C137:C139)</f>
        <v>7368.24</v>
      </c>
      <c r="E139" s="541">
        <f>HLOOKUP("start",ESLData!F$1:F$9983,MATCH($A139,ESLData!$B$1:$B$9983,0))</f>
        <v>0</v>
      </c>
      <c r="F139" s="542">
        <f>SUM(E137:E139)</f>
        <v>4000</v>
      </c>
      <c r="G139" s="541">
        <f>HLOOKUP("start",ESLData!H$1:H$9983,MATCH($A139,ESLData!$B$1:$B$9983,0))</f>
        <v>0</v>
      </c>
      <c r="H139" s="542">
        <f>SUM(G137:G139)</f>
        <v>4394.17</v>
      </c>
    </row>
    <row r="140" spans="1:8" x14ac:dyDescent="0.2">
      <c r="A140" s="538" t="s">
        <v>883</v>
      </c>
      <c r="C140" s="541"/>
      <c r="D140" s="542"/>
      <c r="E140" s="541"/>
      <c r="F140" s="542"/>
      <c r="G140" s="541"/>
    </row>
    <row r="141" spans="1:8" x14ac:dyDescent="0.2">
      <c r="A141" s="545">
        <v>34453</v>
      </c>
      <c r="C141" s="541">
        <f>HLOOKUP("start",ESLData!E$1:E$9983,MATCH($A141,ESLData!$B$1:$B$9983,0))</f>
        <v>0</v>
      </c>
      <c r="E141" s="541">
        <f>HLOOKUP("start",ESLData!F$1:F$9983,MATCH($A141,ESLData!$B$1:$B$9983,0))</f>
        <v>0</v>
      </c>
      <c r="F141" s="542"/>
      <c r="G141" s="541">
        <f>HLOOKUP("start",ESLData!H$1:H$9983,MATCH($A141,ESLData!$B$1:$B$9983,0))</f>
        <v>0</v>
      </c>
    </row>
    <row r="142" spans="1:8" x14ac:dyDescent="0.2">
      <c r="A142" s="540">
        <v>61000</v>
      </c>
      <c r="C142" s="541">
        <f>HLOOKUP("start",ESLData!E$1:E$9983,MATCH($A142,ESLData!$B$1:$B$9983,0))</f>
        <v>11166.61</v>
      </c>
      <c r="E142" s="541">
        <f>HLOOKUP("start",ESLData!F$1:F$9983,MATCH($A142,ESLData!$B$1:$B$9983,0))</f>
        <v>4000</v>
      </c>
      <c r="F142" s="542"/>
      <c r="G142" s="541">
        <f>HLOOKUP("start",ESLData!H$1:H$9983,MATCH($A142,ESLData!$B$1:$B$9983,0))</f>
        <v>48122.82</v>
      </c>
    </row>
    <row r="143" spans="1:8" x14ac:dyDescent="0.2">
      <c r="A143" s="540">
        <v>61100</v>
      </c>
      <c r="C143" s="541">
        <f>HLOOKUP("start",ESLData!E$1:E$9983,MATCH($A143,ESLData!$B$1:$B$9983,0))</f>
        <v>6413.04</v>
      </c>
      <c r="E143" s="541">
        <f>HLOOKUP("start",ESLData!F$1:F$9983,MATCH($A143,ESLData!$B$1:$B$9983,0))</f>
        <v>7000</v>
      </c>
      <c r="F143" s="542"/>
      <c r="G143" s="541">
        <f>HLOOKUP("start",ESLData!H$1:H$9983,MATCH($A143,ESLData!$B$1:$B$9983,0))</f>
        <v>34736.25</v>
      </c>
    </row>
    <row r="144" spans="1:8" x14ac:dyDescent="0.2">
      <c r="A144" s="540">
        <v>61150</v>
      </c>
      <c r="C144" s="541">
        <f>HLOOKUP("start",ESLData!E$1:E$9983,MATCH($A144,ESLData!$B$1:$B$9983,0))</f>
        <v>6424.35</v>
      </c>
      <c r="E144" s="541">
        <f>HLOOKUP("start",ESLData!F$1:F$9983,MATCH($A144,ESLData!$B$1:$B$9983,0))</f>
        <v>11000</v>
      </c>
      <c r="F144" s="542"/>
      <c r="G144" s="541">
        <f>HLOOKUP("start",ESLData!H$1:H$9983,MATCH($A144,ESLData!$B$1:$B$9983,0))</f>
        <v>0</v>
      </c>
    </row>
    <row r="145" spans="1:8" x14ac:dyDescent="0.2">
      <c r="A145" s="540">
        <v>61170</v>
      </c>
      <c r="C145" s="541">
        <f>HLOOKUP("start",ESLData!E$1:E$9983,MATCH($A145,ESLData!$B$1:$B$9983,0))</f>
        <v>9469.57</v>
      </c>
      <c r="E145" s="541">
        <f>HLOOKUP("start",ESLData!F$1:F$9983,MATCH($A145,ESLData!$B$1:$B$9983,0))</f>
        <v>12000</v>
      </c>
      <c r="F145" s="542"/>
      <c r="G145" s="541">
        <f>HLOOKUP("start",ESLData!H$1:H$9983,MATCH($A145,ESLData!$B$1:$B$9983,0))</f>
        <v>0</v>
      </c>
    </row>
    <row r="146" spans="1:8" x14ac:dyDescent="0.2">
      <c r="A146" s="540">
        <v>61200</v>
      </c>
      <c r="C146" s="541">
        <f>HLOOKUP("start",ESLData!E$1:E$9983,MATCH($A146,ESLData!$B$1:$B$9983,0))</f>
        <v>0</v>
      </c>
      <c r="E146" s="541">
        <f>HLOOKUP("start",ESLData!F$1:F$9983,MATCH($A146,ESLData!$B$1:$B$9983,0))</f>
        <v>2000</v>
      </c>
      <c r="F146" s="542"/>
      <c r="G146" s="541">
        <f>HLOOKUP("start",ESLData!H$1:H$9983,MATCH($A146,ESLData!$B$1:$B$9983,0))</f>
        <v>300</v>
      </c>
    </row>
    <row r="147" spans="1:8" x14ac:dyDescent="0.2">
      <c r="A147" s="540">
        <v>61300</v>
      </c>
      <c r="C147" s="541">
        <f>HLOOKUP("start",ESLData!E$1:E$9983,MATCH($A147,ESLData!$B$1:$B$9983,0))</f>
        <v>7140.89</v>
      </c>
      <c r="E147" s="541">
        <f>HLOOKUP("start",ESLData!F$1:F$9983,MATCH($A147,ESLData!$B$1:$B$9983,0))</f>
        <v>15200</v>
      </c>
      <c r="F147" s="542"/>
      <c r="G147" s="541">
        <f>HLOOKUP("start",ESLData!H$1:H$9983,MATCH($A147,ESLData!$B$1:$B$9983,0))</f>
        <v>6243.31</v>
      </c>
    </row>
    <row r="148" spans="1:8" x14ac:dyDescent="0.2">
      <c r="A148" s="540">
        <v>61500</v>
      </c>
      <c r="C148" s="541">
        <f>HLOOKUP("start",ESLData!E$1:E$9983,MATCH($A148,ESLData!$B$1:$B$9983,0))</f>
        <v>21478.27</v>
      </c>
      <c r="E148" s="541">
        <f>HLOOKUP("start",ESLData!F$1:F$9983,MATCH($A148,ESLData!$B$1:$B$9983,0))</f>
        <v>18000</v>
      </c>
      <c r="F148" s="542"/>
      <c r="G148" s="541">
        <f>HLOOKUP("start",ESLData!H$1:H$9983,MATCH($A148,ESLData!$B$1:$B$9983,0))</f>
        <v>17217.39</v>
      </c>
    </row>
    <row r="149" spans="1:8" x14ac:dyDescent="0.2">
      <c r="A149" s="540">
        <v>61600</v>
      </c>
      <c r="C149" s="541">
        <f>HLOOKUP("start",ESLData!E$1:E$9983,MATCH($A149,ESLData!$B$1:$B$9983,0))</f>
        <v>2147.61</v>
      </c>
      <c r="E149" s="541">
        <f>HLOOKUP("start",ESLData!F$1:F$9983,MATCH($A149,ESLData!$B$1:$B$9983,0))</f>
        <v>1575</v>
      </c>
      <c r="F149" s="542"/>
      <c r="G149" s="541">
        <f>HLOOKUP("start",ESLData!H$1:H$9983,MATCH($A149,ESLData!$B$1:$B$9983,0))</f>
        <v>1853.95</v>
      </c>
    </row>
    <row r="150" spans="1:8" x14ac:dyDescent="0.2">
      <c r="A150" s="540">
        <v>61700</v>
      </c>
      <c r="C150" s="541">
        <f>HLOOKUP("start",ESLData!E$1:E$9983,MATCH($A150,ESLData!$B$1:$B$9983,0))</f>
        <v>12440.12</v>
      </c>
      <c r="E150" s="541">
        <f>HLOOKUP("start",ESLData!F$1:F$9983,MATCH($A150,ESLData!$B$1:$B$9983,0))</f>
        <v>19500</v>
      </c>
      <c r="F150" s="542"/>
      <c r="G150" s="541">
        <f>HLOOKUP("start",ESLData!H$1:H$9983,MATCH($A150,ESLData!$B$1:$B$9983,0))</f>
        <v>9236.92</v>
      </c>
    </row>
    <row r="151" spans="1:8" x14ac:dyDescent="0.2">
      <c r="A151" s="540">
        <v>61800</v>
      </c>
      <c r="C151" s="541">
        <f>HLOOKUP("start",ESLData!E$1:E$9983,MATCH($A151,ESLData!$B$1:$B$9983,0))</f>
        <v>5274.12</v>
      </c>
      <c r="E151" s="541">
        <f>HLOOKUP("start",ESLData!F$1:F$9983,MATCH($A151,ESLData!$B$1:$B$9983,0))</f>
        <v>27000</v>
      </c>
      <c r="F151" s="542"/>
      <c r="G151" s="541">
        <f>HLOOKUP("start",ESLData!H$1:H$9983,MATCH($A151,ESLData!$B$1:$B$9983,0))</f>
        <v>5011.6400000000003</v>
      </c>
    </row>
    <row r="152" spans="1:8" x14ac:dyDescent="0.2">
      <c r="A152" s="540">
        <v>61900</v>
      </c>
      <c r="C152" s="541">
        <f>HLOOKUP("start",ESLData!E$1:E$9983,MATCH($A152,ESLData!$B$1:$B$9983,0))</f>
        <v>1154.99</v>
      </c>
      <c r="D152" s="542">
        <f>SUM(C141:C152)</f>
        <v>83109.569999999992</v>
      </c>
      <c r="E152" s="541">
        <f>HLOOKUP("start",ESLData!F$1:F$9983,MATCH($A152,ESLData!$B$1:$B$9983,0))</f>
        <v>2000</v>
      </c>
      <c r="F152" s="542">
        <f>SUM(E141:E152)</f>
        <v>119275</v>
      </c>
      <c r="G152" s="541">
        <f>HLOOKUP("start",ESLData!H$1:H$9983,MATCH($A152,ESLData!$B$1:$B$9983,0))</f>
        <v>904.88</v>
      </c>
      <c r="H152" s="542">
        <f>SUM(G141:G152)</f>
        <v>123627.16</v>
      </c>
    </row>
    <row r="153" spans="1:8" x14ac:dyDescent="0.2">
      <c r="A153" s="538" t="s">
        <v>607</v>
      </c>
      <c r="C153" s="541"/>
      <c r="E153" s="541"/>
      <c r="G153" s="541"/>
    </row>
    <row r="154" spans="1:8" x14ac:dyDescent="0.2">
      <c r="A154" s="540">
        <v>31010</v>
      </c>
      <c r="C154" s="541">
        <f>HLOOKUP("start",ESLData!E$1:E$9983,MATCH($A154,ESLData!$B$1:$B$9983,0))</f>
        <v>782.61</v>
      </c>
      <c r="E154" s="541">
        <f>HLOOKUP("start",ESLData!F$1:F$9983,MATCH($A154,ESLData!$B$1:$B$9983,0))</f>
        <v>3000</v>
      </c>
      <c r="G154" s="541">
        <f>HLOOKUP("start",ESLData!H$1:H$9983,MATCH($A154,ESLData!$B$1:$B$9983,0))</f>
        <v>652.16999999999996</v>
      </c>
    </row>
    <row r="155" spans="1:8" x14ac:dyDescent="0.2">
      <c r="A155" s="540">
        <v>31040</v>
      </c>
      <c r="C155" s="541">
        <f>HLOOKUP("start",ESLData!E$1:E$9983,MATCH($A155,ESLData!$B$1:$B$9983,0))</f>
        <v>0</v>
      </c>
      <c r="E155" s="541">
        <f>HLOOKUP("start",ESLData!F$1:F$9983,MATCH($A155,ESLData!$B$1:$B$9983,0))</f>
        <v>250</v>
      </c>
      <c r="G155" s="541">
        <f>HLOOKUP("start",ESLData!H$1:H$9983,MATCH($A155,ESLData!$B$1:$B$9983,0))</f>
        <v>59.51</v>
      </c>
    </row>
    <row r="156" spans="1:8" x14ac:dyDescent="0.2">
      <c r="A156" s="540">
        <v>31045</v>
      </c>
      <c r="C156" s="541">
        <f>HLOOKUP("start",ESLData!E$1:E$9983,MATCH($A156,ESLData!$B$1:$B$9983,0))</f>
        <v>0</v>
      </c>
      <c r="E156" s="541">
        <f>HLOOKUP("start",ESLData!F$1:F$9983,MATCH($A156,ESLData!$B$1:$B$9983,0))</f>
        <v>0</v>
      </c>
      <c r="G156" s="541">
        <f>HLOOKUP("start",ESLData!H$1:H$9983,MATCH($A156,ESLData!$B$1:$B$9983,0))</f>
        <v>0</v>
      </c>
    </row>
    <row r="157" spans="1:8" x14ac:dyDescent="0.2">
      <c r="A157" s="540">
        <v>31050</v>
      </c>
      <c r="C157" s="541">
        <f>HLOOKUP("start",ESLData!E$1:E$9983,MATCH($A157,ESLData!$B$1:$B$9983,0))</f>
        <v>0</v>
      </c>
      <c r="D157" s="542">
        <f>SUM(C154:C157)</f>
        <v>782.61</v>
      </c>
      <c r="E157" s="541">
        <f>HLOOKUP("start",ESLData!F$1:F$9983,MATCH($A157,ESLData!$B$1:$B$9983,0))</f>
        <v>800</v>
      </c>
      <c r="F157" s="542">
        <f>SUM(E154:E157)</f>
        <v>4050</v>
      </c>
      <c r="G157" s="541">
        <f>HLOOKUP("start",ESLData!H$1:H$9983,MATCH($A157,ESLData!$B$1:$B$9983,0))</f>
        <v>397.61</v>
      </c>
      <c r="H157" s="542">
        <f>SUM(G154:G157)</f>
        <v>1109.29</v>
      </c>
    </row>
    <row r="158" spans="1:8" x14ac:dyDescent="0.2">
      <c r="A158" s="538" t="s">
        <v>898</v>
      </c>
      <c r="C158" s="541"/>
      <c r="E158" s="541"/>
      <c r="G158" s="541"/>
    </row>
    <row r="159" spans="1:8" x14ac:dyDescent="0.2">
      <c r="A159" s="540">
        <v>32000</v>
      </c>
      <c r="C159" s="541">
        <f>HLOOKUP("start",ESLData!E$1:E$9983,MATCH($A159,ESLData!$B$1:$B$9983,0))</f>
        <v>6163.1</v>
      </c>
      <c r="E159" s="541">
        <f>HLOOKUP("start",ESLData!F$1:F$9983,MATCH($A159,ESLData!$B$1:$B$9983,0))</f>
        <v>8000</v>
      </c>
      <c r="G159" s="541">
        <f>HLOOKUP("start",ESLData!H$1:H$9983,MATCH($A159,ESLData!$B$1:$B$9983,0))</f>
        <v>8838.42</v>
      </c>
    </row>
    <row r="160" spans="1:8" x14ac:dyDescent="0.2">
      <c r="A160" s="540">
        <v>32010</v>
      </c>
      <c r="C160" s="541">
        <f>HLOOKUP("start",ESLData!E$1:E$9983,MATCH($A160,ESLData!$B$1:$B$9983,0))</f>
        <v>318.04000000000002</v>
      </c>
      <c r="E160" s="541">
        <f>HLOOKUP("start",ESLData!F$1:F$9983,MATCH($A160,ESLData!$B$1:$B$9983,0))</f>
        <v>500</v>
      </c>
      <c r="G160" s="541">
        <f>HLOOKUP("start",ESLData!H$1:H$9983,MATCH($A160,ESLData!$B$1:$B$9983,0))</f>
        <v>102.61</v>
      </c>
    </row>
    <row r="161" spans="1:8" x14ac:dyDescent="0.2">
      <c r="A161" s="540">
        <v>32020</v>
      </c>
      <c r="C161" s="541">
        <f>HLOOKUP("start",ESLData!E$1:E$9983,MATCH($A161,ESLData!$B$1:$B$9983,0))</f>
        <v>2121.86</v>
      </c>
      <c r="E161" s="541">
        <f>HLOOKUP("start",ESLData!F$1:F$9983,MATCH($A161,ESLData!$B$1:$B$9983,0))</f>
        <v>3000</v>
      </c>
      <c r="G161" s="541">
        <f>HLOOKUP("start",ESLData!H$1:H$9983,MATCH($A161,ESLData!$B$1:$B$9983,0))</f>
        <v>4774.99</v>
      </c>
    </row>
    <row r="162" spans="1:8" x14ac:dyDescent="0.2">
      <c r="A162" s="540">
        <v>32030</v>
      </c>
      <c r="C162" s="541">
        <f>HLOOKUP("start",ESLData!E$1:E$9983,MATCH($A162,ESLData!$B$1:$B$9983,0))</f>
        <v>8574.34</v>
      </c>
      <c r="E162" s="541">
        <f>HLOOKUP("start",ESLData!F$1:F$9983,MATCH($A162,ESLData!$B$1:$B$9983,0))</f>
        <v>20000</v>
      </c>
      <c r="G162" s="541">
        <f>HLOOKUP("start",ESLData!H$1:H$9983,MATCH($A162,ESLData!$B$1:$B$9983,0))</f>
        <v>15710.27</v>
      </c>
    </row>
    <row r="163" spans="1:8" x14ac:dyDescent="0.2">
      <c r="A163" s="540">
        <v>32040</v>
      </c>
      <c r="C163" s="541">
        <f>HLOOKUP("start",ESLData!E$1:E$9983,MATCH($A163,ESLData!$B$1:$B$9983,0))</f>
        <v>0</v>
      </c>
      <c r="E163" s="541">
        <f>HLOOKUP("start",ESLData!F$1:F$9983,MATCH($A163,ESLData!$B$1:$B$9983,0))</f>
        <v>0</v>
      </c>
      <c r="G163" s="541">
        <f>HLOOKUP("start",ESLData!H$1:H$9983,MATCH($A163,ESLData!$B$1:$B$9983,0))</f>
        <v>4.66</v>
      </c>
    </row>
    <row r="164" spans="1:8" x14ac:dyDescent="0.2">
      <c r="A164" s="540">
        <v>32050</v>
      </c>
      <c r="C164" s="541">
        <f>HLOOKUP("start",ESLData!E$1:E$9983,MATCH($A164,ESLData!$B$1:$B$9983,0))</f>
        <v>1526.3</v>
      </c>
      <c r="E164" s="541">
        <f>HLOOKUP("start",ESLData!F$1:F$9983,MATCH($A164,ESLData!$B$1:$B$9983,0))</f>
        <v>5500</v>
      </c>
      <c r="G164" s="541">
        <f>HLOOKUP("start",ESLData!H$1:H$9983,MATCH($A164,ESLData!$B$1:$B$9983,0))</f>
        <v>5950.21</v>
      </c>
    </row>
    <row r="165" spans="1:8" x14ac:dyDescent="0.2">
      <c r="A165" s="540">
        <v>32060</v>
      </c>
      <c r="C165" s="541">
        <f>HLOOKUP("start",ESLData!E$1:E$9983,MATCH($A165,ESLData!$B$1:$B$9983,0))</f>
        <v>19.71</v>
      </c>
      <c r="E165" s="541">
        <f>HLOOKUP("start",ESLData!F$1:F$9983,MATCH($A165,ESLData!$B$1:$B$9983,0))</f>
        <v>1000</v>
      </c>
      <c r="G165" s="541">
        <f>HLOOKUP("start",ESLData!H$1:H$9983,MATCH($A165,ESLData!$B$1:$B$9983,0))</f>
        <v>88.44</v>
      </c>
    </row>
    <row r="166" spans="1:8" x14ac:dyDescent="0.2">
      <c r="A166" s="540">
        <v>32070</v>
      </c>
      <c r="C166" s="541">
        <f>HLOOKUP("start",ESLData!E$1:E$9983,MATCH($A166,ESLData!$B$1:$B$9983,0))</f>
        <v>-217.39</v>
      </c>
      <c r="E166" s="541">
        <f>HLOOKUP("start",ESLData!F$1:F$9983,MATCH($A166,ESLData!$B$1:$B$9983,0))</f>
        <v>3000</v>
      </c>
      <c r="G166" s="541">
        <f>HLOOKUP("start",ESLData!H$1:H$9983,MATCH($A166,ESLData!$B$1:$B$9983,0))</f>
        <v>2507.5100000000002</v>
      </c>
    </row>
    <row r="167" spans="1:8" x14ac:dyDescent="0.2">
      <c r="A167" s="540">
        <v>32080</v>
      </c>
      <c r="C167" s="541">
        <f>HLOOKUP("start",ESLData!E$1:E$9983,MATCH($A167,ESLData!$B$1:$B$9983,0))</f>
        <v>708.52</v>
      </c>
      <c r="E167" s="541">
        <f>HLOOKUP("start",ESLData!F$1:F$9983,MATCH($A167,ESLData!$B$1:$B$9983,0))</f>
        <v>1000</v>
      </c>
      <c r="G167" s="541">
        <f>HLOOKUP("start",ESLData!H$1:H$9983,MATCH($A167,ESLData!$B$1:$B$9983,0))</f>
        <v>2174.1</v>
      </c>
    </row>
    <row r="168" spans="1:8" x14ac:dyDescent="0.2">
      <c r="A168" s="540">
        <v>32090</v>
      </c>
      <c r="C168" s="541">
        <f>HLOOKUP("start",ESLData!E$1:E$9983,MATCH($A168,ESLData!$B$1:$B$9983,0))</f>
        <v>0</v>
      </c>
      <c r="E168" s="541">
        <f>HLOOKUP("start",ESLData!F$1:F$9983,MATCH($A168,ESLData!$B$1:$B$9983,0))</f>
        <v>0</v>
      </c>
      <c r="G168" s="541">
        <f>HLOOKUP("start",ESLData!H$1:H$9983,MATCH($A168,ESLData!$B$1:$B$9983,0))</f>
        <v>0</v>
      </c>
    </row>
    <row r="169" spans="1:8" x14ac:dyDescent="0.2">
      <c r="A169" s="540">
        <v>32100</v>
      </c>
      <c r="C169" s="541">
        <f>HLOOKUP("start",ESLData!E$1:E$9983,MATCH($A169,ESLData!$B$1:$B$9983,0))</f>
        <v>0</v>
      </c>
      <c r="D169" s="542">
        <f>SUM(C159:C169)</f>
        <v>19214.48</v>
      </c>
      <c r="E169" s="541">
        <f>HLOOKUP("start",ESLData!F$1:F$9983,MATCH($A169,ESLData!$B$1:$B$9983,0))</f>
        <v>0</v>
      </c>
      <c r="F169" s="542">
        <f>SUM(E159:E169)</f>
        <v>42000</v>
      </c>
      <c r="G169" s="541">
        <f>HLOOKUP("start",ESLData!H$1:H$9983,MATCH($A169,ESLData!$B$1:$B$9983,0))</f>
        <v>0</v>
      </c>
      <c r="H169" s="542">
        <f>SUM(G159:G169)</f>
        <v>40151.210000000006</v>
      </c>
    </row>
    <row r="170" spans="1:8" x14ac:dyDescent="0.2">
      <c r="A170" s="538" t="s">
        <v>902</v>
      </c>
      <c r="C170" s="541"/>
      <c r="E170" s="541"/>
      <c r="G170" s="541"/>
    </row>
    <row r="171" spans="1:8" x14ac:dyDescent="0.2">
      <c r="A171" s="540">
        <v>30230</v>
      </c>
      <c r="C171" s="541">
        <f>HLOOKUP("start",ESLData!E$1:E$9983,MATCH($A171,ESLData!$B$1:$B$9983,0))</f>
        <v>436.49</v>
      </c>
      <c r="E171" s="541">
        <f>HLOOKUP("start",ESLData!F$1:F$9983,MATCH($A171,ESLData!$B$1:$B$9983,0))</f>
        <v>1000</v>
      </c>
      <c r="G171" s="541">
        <f>HLOOKUP("start",ESLData!H$1:H$9983,MATCH($A171,ESLData!$B$1:$B$9983,0))</f>
        <v>631.92999999999995</v>
      </c>
    </row>
    <row r="172" spans="1:8" x14ac:dyDescent="0.2">
      <c r="A172" s="540">
        <v>30240</v>
      </c>
      <c r="C172" s="541">
        <f>HLOOKUP("start",ESLData!E$1:E$9983,MATCH($A172,ESLData!$B$1:$B$9983,0))</f>
        <v>2246.98</v>
      </c>
      <c r="E172" s="541">
        <f>HLOOKUP("start",ESLData!F$1:F$9983,MATCH($A172,ESLData!$B$1:$B$9983,0))</f>
        <v>1000</v>
      </c>
      <c r="G172" s="541">
        <f>HLOOKUP("start",ESLData!H$1:H$9983,MATCH($A172,ESLData!$B$1:$B$9983,0))</f>
        <v>703.48</v>
      </c>
    </row>
    <row r="173" spans="1:8" x14ac:dyDescent="0.2">
      <c r="A173" s="540">
        <v>30250</v>
      </c>
      <c r="C173" s="541">
        <f>HLOOKUP("start",ESLData!E$1:E$9983,MATCH($A173,ESLData!$B$1:$B$9983,0))</f>
        <v>2509.23</v>
      </c>
      <c r="D173" s="542">
        <f>SUM(C171:C173)</f>
        <v>5192.7000000000007</v>
      </c>
      <c r="E173" s="541">
        <f>HLOOKUP("start",ESLData!F$1:F$9983,MATCH($A173,ESLData!$B$1:$B$9983,0))</f>
        <v>2000</v>
      </c>
      <c r="F173" s="542">
        <f>SUM(E171:E173)</f>
        <v>4000</v>
      </c>
      <c r="G173" s="541">
        <f>HLOOKUP("start",ESLData!H$1:H$9983,MATCH($A173,ESLData!$B$1:$B$9983,0))</f>
        <v>2089.2399999999998</v>
      </c>
      <c r="H173" s="542">
        <f>SUM(G171:G173)</f>
        <v>3424.6499999999996</v>
      </c>
    </row>
    <row r="174" spans="1:8" x14ac:dyDescent="0.2">
      <c r="A174" s="538" t="s">
        <v>608</v>
      </c>
      <c r="C174" s="541"/>
      <c r="E174" s="541"/>
      <c r="G174" s="541"/>
    </row>
    <row r="175" spans="1:8" x14ac:dyDescent="0.2">
      <c r="A175" s="540">
        <v>30330</v>
      </c>
      <c r="C175" s="541">
        <f>HLOOKUP("start",ESLData!E$1:E$9983,MATCH($A175,ESLData!$B$1:$B$9983,0))</f>
        <v>27123.79</v>
      </c>
      <c r="E175" s="541">
        <f>HLOOKUP("start",ESLData!F$1:F$9983,MATCH($A175,ESLData!$B$1:$B$9983,0))</f>
        <v>26213</v>
      </c>
      <c r="G175" s="541">
        <f>HLOOKUP("start",ESLData!H$1:H$9983,MATCH($A175,ESLData!$B$1:$B$9983,0))</f>
        <v>55039.65</v>
      </c>
    </row>
    <row r="176" spans="1:8" x14ac:dyDescent="0.2">
      <c r="A176" s="540">
        <v>30331</v>
      </c>
      <c r="C176" s="541">
        <f>HLOOKUP("start",ESLData!E$1:E$9983,MATCH($A176,ESLData!$B$1:$B$9983,0))</f>
        <v>0</v>
      </c>
      <c r="E176" s="541">
        <f>HLOOKUP("start",ESLData!F$1:F$9983,MATCH($A176,ESLData!$B$1:$B$9983,0))</f>
        <v>0</v>
      </c>
      <c r="G176" s="541">
        <f>HLOOKUP("start",ESLData!H$1:H$9983,MATCH($A176,ESLData!$B$1:$B$9983,0))</f>
        <v>0</v>
      </c>
    </row>
    <row r="177" spans="1:14" x14ac:dyDescent="0.2">
      <c r="A177" s="540">
        <v>30350</v>
      </c>
      <c r="C177" s="541">
        <f>HLOOKUP("start",ESLData!E$1:E$9983,MATCH($A177,ESLData!$B$1:$B$9983,0))</f>
        <v>17336.009999999998</v>
      </c>
      <c r="E177" s="541">
        <f>HLOOKUP("start",ESLData!F$1:F$9983,MATCH($A177,ESLData!$B$1:$B$9983,0))</f>
        <v>36632</v>
      </c>
      <c r="G177" s="541">
        <f>HLOOKUP("start",ESLData!H$1:H$9983,MATCH($A177,ESLData!$B$1:$B$9983,0))</f>
        <v>33981.919999999998</v>
      </c>
    </row>
    <row r="178" spans="1:14" x14ac:dyDescent="0.2">
      <c r="A178" s="540">
        <v>30380</v>
      </c>
      <c r="C178" s="541">
        <f>HLOOKUP("start",ESLData!E$1:E$9983,MATCH($A178,ESLData!$B$1:$B$9983,0))</f>
        <v>8755259.5600000005</v>
      </c>
      <c r="E178" s="541">
        <f>HLOOKUP("start",ESLData!F$1:F$9983,MATCH($A178,ESLData!$B$1:$B$9983,0))</f>
        <v>8370000</v>
      </c>
      <c r="G178" s="541">
        <f>HLOOKUP("start",ESLData!H$1:H$9983,MATCH($A178,ESLData!$B$1:$B$9983,0))</f>
        <v>8632083.6099999994</v>
      </c>
    </row>
    <row r="179" spans="1:14" x14ac:dyDescent="0.2">
      <c r="A179" s="540">
        <v>30385</v>
      </c>
      <c r="C179" s="541">
        <f>HLOOKUP("start",ESLData!E$1:E$9983,MATCH($A179,ESLData!$B$1:$B$9983,0))</f>
        <v>2671.86</v>
      </c>
      <c r="E179" s="541">
        <f>HLOOKUP("start",ESLData!F$1:F$9983,MATCH($A179,ESLData!$B$1:$B$9983,0))</f>
        <v>0</v>
      </c>
      <c r="G179" s="541">
        <f>HLOOKUP("start",ESLData!H$1:H$9983,MATCH($A179,ESLData!$B$1:$B$9983,0))</f>
        <v>0</v>
      </c>
    </row>
    <row r="180" spans="1:14" x14ac:dyDescent="0.2">
      <c r="A180" s="540">
        <v>30390</v>
      </c>
      <c r="C180" s="541">
        <f>HLOOKUP("start",ESLData!E$1:E$9983,MATCH($A180,ESLData!$B$1:$B$9983,0))</f>
        <v>21269.98</v>
      </c>
      <c r="E180" s="541">
        <f>HLOOKUP("start",ESLData!F$1:F$9983,MATCH($A180,ESLData!$B$1:$B$9983,0))</f>
        <v>18896</v>
      </c>
      <c r="G180" s="541">
        <f>HLOOKUP("start",ESLData!H$1:H$9983,MATCH($A180,ESLData!$B$1:$B$9983,0))</f>
        <v>16880.91</v>
      </c>
    </row>
    <row r="181" spans="1:14" x14ac:dyDescent="0.2">
      <c r="A181" s="540">
        <v>30395</v>
      </c>
      <c r="C181" s="541">
        <f>HLOOKUP("start",ESLData!E$1:E$9983,MATCH($A181,ESLData!$B$1:$B$9983,0))</f>
        <v>142.43</v>
      </c>
      <c r="D181" s="542">
        <f>SUM(C175:C181)</f>
        <v>8823803.6300000008</v>
      </c>
      <c r="E181" s="541">
        <f>HLOOKUP("start",ESLData!F$1:F$9983,MATCH($A181,ESLData!$B$1:$B$9983,0))</f>
        <v>2000</v>
      </c>
      <c r="F181" s="542">
        <f>SUM(E175:E181)</f>
        <v>8453741</v>
      </c>
      <c r="G181" s="541">
        <f>HLOOKUP("start",ESLData!H$1:H$9983,MATCH($A181,ESLData!$B$1:$B$9983,0))</f>
        <v>0</v>
      </c>
      <c r="H181" s="542">
        <f>SUM(G175:G181)</f>
        <v>8737986.0899999999</v>
      </c>
    </row>
    <row r="182" spans="1:14" x14ac:dyDescent="0.2">
      <c r="A182" s="538" t="s">
        <v>609</v>
      </c>
      <c r="C182" s="541"/>
      <c r="E182" s="541"/>
      <c r="G182" s="541"/>
    </row>
    <row r="183" spans="1:14" x14ac:dyDescent="0.2">
      <c r="A183" s="545">
        <v>25150</v>
      </c>
      <c r="C183" s="541">
        <f>HLOOKUP("start",ESLData!E$1:E$9983,MATCH($A183,ESLData!$B$1:$B$9983,0))</f>
        <v>145351.99</v>
      </c>
      <c r="E183" s="541">
        <f>HLOOKUP("start",ESLData!F$1:F$9983,MATCH($A183,ESLData!$B$1:$B$9983,0))</f>
        <v>129132</v>
      </c>
      <c r="G183" s="541">
        <f>HLOOKUP("start",ESLData!H$1:H$9983,MATCH($A183,ESLData!$B$1:$B$9983,0))</f>
        <v>0</v>
      </c>
    </row>
    <row r="184" spans="1:14" x14ac:dyDescent="0.2">
      <c r="A184" s="540">
        <v>30400</v>
      </c>
      <c r="C184" s="541">
        <f>HLOOKUP("start",ESLData!E$1:E$9983,MATCH($A184,ESLData!$B$1:$B$9983,0))</f>
        <v>2038.36</v>
      </c>
      <c r="E184" s="541">
        <f>HLOOKUP("start",ESLData!F$1:F$9983,MATCH($A184,ESLData!$B$1:$B$9983,0))</f>
        <v>4000</v>
      </c>
      <c r="G184" s="541">
        <f>HLOOKUP("start",ESLData!H$1:H$9983,MATCH($A184,ESLData!$B$1:$B$9983,0))</f>
        <v>5572.85</v>
      </c>
    </row>
    <row r="185" spans="1:14" s="550" customFormat="1" x14ac:dyDescent="0.2">
      <c r="A185" s="543">
        <v>30401</v>
      </c>
      <c r="C185" s="541">
        <f>HLOOKUP("start",ESLData!E$1:E$9983,MATCH($A185,ESLData!$B$1:$B$9983,0))</f>
        <v>3000</v>
      </c>
      <c r="D185" s="551">
        <f>SUM(C183:C185)</f>
        <v>150390.34999999998</v>
      </c>
      <c r="E185" s="541">
        <f>HLOOKUP("start",ESLData!F$1:F$9983,MATCH($A185,ESLData!$B$1:$B$9983,0))</f>
        <v>0</v>
      </c>
      <c r="F185" s="551">
        <f>SUM(E183:E185)</f>
        <v>133132</v>
      </c>
      <c r="G185" s="541">
        <f>HLOOKUP("start",ESLData!H$1:H$9983,MATCH($A185,ESLData!$B$1:$B$9983,0))</f>
        <v>0</v>
      </c>
      <c r="H185" s="551">
        <f>SUM(G183:G185)</f>
        <v>5572.85</v>
      </c>
    </row>
    <row r="186" spans="1:14" x14ac:dyDescent="0.2">
      <c r="A186" s="546" t="s">
        <v>820</v>
      </c>
      <c r="C186" s="541"/>
      <c r="E186" s="541"/>
      <c r="G186" s="541"/>
    </row>
    <row r="187" spans="1:14" x14ac:dyDescent="0.2">
      <c r="A187" s="538" t="s">
        <v>901</v>
      </c>
      <c r="C187" s="541"/>
      <c r="E187" s="541"/>
      <c r="G187" s="541"/>
    </row>
    <row r="188" spans="1:14" x14ac:dyDescent="0.2">
      <c r="A188" s="540">
        <v>46000</v>
      </c>
      <c r="C188" s="541">
        <f>HLOOKUP("start",ESLData!E$1:E$9983,MATCH($A188,ESLData!$B$1:$B$9983,0))</f>
        <v>25944</v>
      </c>
      <c r="E188" s="541">
        <f>HLOOKUP("start",ESLData!F$1:F$9983,MATCH($A188,ESLData!$B$1:$B$9983,0))</f>
        <v>27086</v>
      </c>
      <c r="G188" s="541">
        <f>HLOOKUP("start",ESLData!H$1:H$9983,MATCH($A188,ESLData!$B$1:$B$9983,0))</f>
        <v>25440</v>
      </c>
    </row>
    <row r="189" spans="1:14" x14ac:dyDescent="0.2">
      <c r="A189" s="538" t="s">
        <v>866</v>
      </c>
      <c r="C189" s="541"/>
      <c r="E189" s="541"/>
      <c r="G189" s="541"/>
      <c r="N189" s="547" t="s">
        <v>1055</v>
      </c>
    </row>
    <row r="190" spans="1:14" x14ac:dyDescent="0.2">
      <c r="A190" s="540">
        <v>46040</v>
      </c>
      <c r="C190" s="541">
        <f>HLOOKUP("start",ESLData!E$1:E$9983,MATCH($A190,ESLData!$B$1:$B$9983,0))</f>
        <v>8720</v>
      </c>
      <c r="E190" s="541">
        <f>HLOOKUP("start",ESLData!F$1:F$9983,MATCH($A190,ESLData!$B$1:$B$9983,0))</f>
        <v>8720</v>
      </c>
      <c r="G190" s="541">
        <f>HLOOKUP("start",ESLData!H$1:H$9983,MATCH($A190,ESLData!$B$1:$B$9983,0))</f>
        <v>8592</v>
      </c>
    </row>
    <row r="191" spans="1:14" x14ac:dyDescent="0.2">
      <c r="A191" s="538" t="s">
        <v>610</v>
      </c>
      <c r="C191" s="541"/>
      <c r="E191" s="541"/>
      <c r="G191" s="541"/>
    </row>
    <row r="192" spans="1:14" x14ac:dyDescent="0.2">
      <c r="A192" s="540">
        <v>46080</v>
      </c>
      <c r="C192" s="541">
        <f>HLOOKUP("start",ESLData!E$1:E$9983,MATCH($A192,ESLData!$B$1:$B$9983,0))</f>
        <v>8040</v>
      </c>
      <c r="E192" s="541">
        <f>HLOOKUP("start",ESLData!F$1:F$9983,MATCH($A192,ESLData!$B$1:$B$9983,0))</f>
        <v>16480</v>
      </c>
      <c r="G192" s="541">
        <f>HLOOKUP("start",ESLData!H$1:H$9983,MATCH($A192,ESLData!$B$1:$B$9983,0))</f>
        <v>4010</v>
      </c>
    </row>
    <row r="193" spans="1:8" x14ac:dyDescent="0.2">
      <c r="A193" s="538" t="s">
        <v>611</v>
      </c>
      <c r="C193" s="541"/>
      <c r="E193" s="541"/>
      <c r="G193" s="541"/>
    </row>
    <row r="194" spans="1:8" x14ac:dyDescent="0.2">
      <c r="A194" s="540">
        <v>46060</v>
      </c>
      <c r="C194" s="541">
        <f>HLOOKUP("start",ESLData!E$1:E$9983,MATCH($A194,ESLData!$B$1:$B$9983,0))</f>
        <v>24948.89</v>
      </c>
      <c r="E194" s="541">
        <f>HLOOKUP("start",ESLData!F$1:F$9983,MATCH($A194,ESLData!$B$1:$B$9983,0))</f>
        <v>22253</v>
      </c>
      <c r="G194" s="541">
        <f>HLOOKUP("start",ESLData!H$1:H$9983,MATCH($A194,ESLData!$B$1:$B$9983,0))</f>
        <v>19061.150000000001</v>
      </c>
    </row>
    <row r="195" spans="1:8" x14ac:dyDescent="0.2">
      <c r="A195" s="540">
        <v>46100</v>
      </c>
      <c r="C195" s="541">
        <f>HLOOKUP("start",ESLData!E$1:E$9983,MATCH($A195,ESLData!$B$1:$B$9983,0))</f>
        <v>9823.98</v>
      </c>
      <c r="E195" s="541">
        <f>HLOOKUP("start",ESLData!F$1:F$9983,MATCH($A195,ESLData!$B$1:$B$9983,0))</f>
        <v>8960</v>
      </c>
      <c r="G195" s="541">
        <f>HLOOKUP("start",ESLData!H$1:H$9983,MATCH($A195,ESLData!$B$1:$B$9983,0))</f>
        <v>13513.65</v>
      </c>
    </row>
    <row r="196" spans="1:8" x14ac:dyDescent="0.2">
      <c r="A196" s="540">
        <v>46160</v>
      </c>
      <c r="C196" s="541">
        <f>HLOOKUP("start",ESLData!E$1:E$9983,MATCH($A196,ESLData!$B$1:$B$9983,0))</f>
        <v>313.83</v>
      </c>
      <c r="E196" s="541">
        <f>HLOOKUP("start",ESLData!F$1:F$9983,MATCH($A196,ESLData!$B$1:$B$9983,0))</f>
        <v>500</v>
      </c>
      <c r="G196" s="541">
        <f>HLOOKUP("start",ESLData!H$1:H$9983,MATCH($A196,ESLData!$B$1:$B$9983,0))</f>
        <v>0</v>
      </c>
    </row>
    <row r="197" spans="1:8" x14ac:dyDescent="0.2">
      <c r="A197" s="540">
        <v>46180</v>
      </c>
      <c r="C197" s="541">
        <f>HLOOKUP("start",ESLData!E$1:E$9983,MATCH($A197,ESLData!$B$1:$B$9983,0))</f>
        <v>2886.53</v>
      </c>
      <c r="E197" s="541">
        <f>HLOOKUP("start",ESLData!F$1:F$9983,MATCH($A197,ESLData!$B$1:$B$9983,0))</f>
        <v>1500</v>
      </c>
      <c r="G197" s="541">
        <f>HLOOKUP("start",ESLData!H$1:H$9983,MATCH($A197,ESLData!$B$1:$B$9983,0))</f>
        <v>534.78</v>
      </c>
    </row>
    <row r="198" spans="1:8" x14ac:dyDescent="0.2">
      <c r="A198" s="540">
        <v>46190</v>
      </c>
      <c r="C198" s="541">
        <f>HLOOKUP("start",ESLData!E$1:E$9983,MATCH($A198,ESLData!$B$1:$B$9983,0))</f>
        <v>21900.33</v>
      </c>
      <c r="D198" s="542">
        <f>SUM(C194:C198)</f>
        <v>59873.56</v>
      </c>
      <c r="E198" s="541">
        <f>HLOOKUP("start",ESLData!F$1:F$9983,MATCH($A198,ESLData!$B$1:$B$9983,0))</f>
        <v>26000</v>
      </c>
      <c r="F198" s="542">
        <f>SUM(E194:E198)</f>
        <v>59213</v>
      </c>
      <c r="G198" s="541">
        <f>HLOOKUP("start",ESLData!H$1:H$9983,MATCH($A198,ESLData!$B$1:$B$9983,0))</f>
        <v>30132.89</v>
      </c>
      <c r="H198" s="542">
        <f>SUM(G194:G198)</f>
        <v>63242.47</v>
      </c>
    </row>
    <row r="199" spans="1:8" x14ac:dyDescent="0.2">
      <c r="A199" s="538" t="s">
        <v>612</v>
      </c>
      <c r="C199" s="541"/>
      <c r="E199" s="541"/>
      <c r="G199" s="541"/>
    </row>
    <row r="200" spans="1:8" x14ac:dyDescent="0.2">
      <c r="A200" s="540">
        <v>46260</v>
      </c>
      <c r="C200" s="541">
        <f>HLOOKUP("start",ESLData!E$1:E$9983,MATCH($A200,ESLData!$B$1:$B$9983,0))</f>
        <v>13952.87</v>
      </c>
      <c r="D200" s="542">
        <f>SUM(C200:C200)</f>
        <v>13952.87</v>
      </c>
      <c r="E200" s="541">
        <f>HLOOKUP("start",ESLData!F$1:F$9983,MATCH($A200,ESLData!$B$1:$B$9983,0))</f>
        <v>7000</v>
      </c>
      <c r="F200" s="542">
        <f>SUM(E200:E200)</f>
        <v>7000</v>
      </c>
      <c r="G200" s="541">
        <f>HLOOKUP("start",ESLData!H$1:H$9983,MATCH($A200,ESLData!$B$1:$B$9983,0))</f>
        <v>12291.92</v>
      </c>
      <c r="H200" s="542">
        <f>SUM(G200:G200)</f>
        <v>12291.92</v>
      </c>
    </row>
    <row r="201" spans="1:8" x14ac:dyDescent="0.2">
      <c r="A201" s="538" t="s">
        <v>828</v>
      </c>
      <c r="C201" s="541"/>
      <c r="E201" s="541"/>
      <c r="G201" s="541"/>
    </row>
    <row r="202" spans="1:8" x14ac:dyDescent="0.2">
      <c r="A202" s="540">
        <v>46320</v>
      </c>
      <c r="C202" s="541">
        <f>HLOOKUP("start",ESLData!E$1:E$9983,MATCH($A202,ESLData!$B$1:$B$9983,0))</f>
        <v>7963.1</v>
      </c>
      <c r="E202" s="541">
        <f>HLOOKUP("start",ESLData!F$1:F$9983,MATCH($A202,ESLData!$B$1:$B$9983,0))</f>
        <v>6000</v>
      </c>
      <c r="G202" s="541">
        <f>HLOOKUP("start",ESLData!H$1:H$9983,MATCH($A202,ESLData!$B$1:$B$9983,0))</f>
        <v>5649.79</v>
      </c>
    </row>
    <row r="203" spans="1:8" x14ac:dyDescent="0.2">
      <c r="A203" s="540">
        <v>46360</v>
      </c>
      <c r="C203" s="541">
        <f>HLOOKUP("start",ESLData!E$1:E$9983,MATCH($A203,ESLData!$B$1:$B$9983,0))</f>
        <v>-1381.31</v>
      </c>
      <c r="E203" s="541">
        <f>HLOOKUP("start",ESLData!F$1:F$9983,MATCH($A203,ESLData!$B$1:$B$9983,0))</f>
        <v>4500</v>
      </c>
      <c r="G203" s="541">
        <f>HLOOKUP("start",ESLData!H$1:H$9983,MATCH($A203,ESLData!$B$1:$B$9983,0))</f>
        <v>4755.45</v>
      </c>
    </row>
    <row r="204" spans="1:8" x14ac:dyDescent="0.2">
      <c r="A204" s="540">
        <v>46380</v>
      </c>
      <c r="C204" s="541">
        <f>HLOOKUP("start",ESLData!E$1:E$9983,MATCH($A204,ESLData!$B$1:$B$9983,0))</f>
        <v>0</v>
      </c>
      <c r="E204" s="541">
        <f>HLOOKUP("start",ESLData!F$1:F$9983,MATCH($A204,ESLData!$B$1:$B$9983,0))</f>
        <v>350</v>
      </c>
      <c r="G204" s="541">
        <f>HLOOKUP("start",ESLData!H$1:H$9983,MATCH($A204,ESLData!$B$1:$B$9983,0))</f>
        <v>122.5</v>
      </c>
    </row>
    <row r="205" spans="1:8" x14ac:dyDescent="0.2">
      <c r="A205" s="540">
        <v>46400</v>
      </c>
      <c r="C205" s="541">
        <f>HLOOKUP("start",ESLData!E$1:E$9983,MATCH($A205,ESLData!$B$1:$B$9983,0))</f>
        <v>3693.85</v>
      </c>
      <c r="E205" s="541">
        <f>HLOOKUP("start",ESLData!F$1:F$9983,MATCH($A205,ESLData!$B$1:$B$9983,0))</f>
        <v>4000</v>
      </c>
      <c r="G205" s="541">
        <f>HLOOKUP("start",ESLData!H$1:H$9983,MATCH($A205,ESLData!$B$1:$B$9983,0))</f>
        <v>4906.99</v>
      </c>
    </row>
    <row r="206" spans="1:8" x14ac:dyDescent="0.2">
      <c r="A206" s="540">
        <v>46401</v>
      </c>
      <c r="C206" s="541">
        <f>HLOOKUP("start",ESLData!E$1:E$9983,MATCH($A206,ESLData!$B$1:$B$9983,0))</f>
        <v>334.86</v>
      </c>
      <c r="D206" s="542">
        <f>SUM(C202:C206)</f>
        <v>10610.500000000002</v>
      </c>
      <c r="E206" s="541">
        <f>HLOOKUP("start",ESLData!F$1:F$9983,MATCH($A206,ESLData!$B$1:$B$9983,0))</f>
        <v>500</v>
      </c>
      <c r="F206" s="542">
        <f>SUM(E202:E206)</f>
        <v>15350</v>
      </c>
      <c r="G206" s="541">
        <f>HLOOKUP("start",ESLData!H$1:H$9983,MATCH($A206,ESLData!$B$1:$B$9983,0))</f>
        <v>353.22</v>
      </c>
      <c r="H206" s="542">
        <f>SUM(G202:G206)</f>
        <v>15787.949999999999</v>
      </c>
    </row>
    <row r="207" spans="1:8" x14ac:dyDescent="0.2">
      <c r="A207" s="538" t="s">
        <v>499</v>
      </c>
      <c r="C207" s="541"/>
      <c r="D207" s="542"/>
      <c r="E207" s="541"/>
      <c r="F207" s="542"/>
      <c r="G207" s="541"/>
      <c r="H207" s="542"/>
    </row>
    <row r="208" spans="1:8" x14ac:dyDescent="0.2">
      <c r="A208" s="540">
        <v>46220</v>
      </c>
      <c r="C208" s="541">
        <f>HLOOKUP("start",ESLData!E$1:E$9983,MATCH($A208,ESLData!$B$1:$B$9983,0))</f>
        <v>2308.83</v>
      </c>
      <c r="D208" s="542"/>
      <c r="E208" s="541">
        <f>HLOOKUP("start",ESLData!F$1:F$9983,MATCH($A208,ESLData!$B$1:$B$9983,0))</f>
        <v>2500</v>
      </c>
      <c r="F208" s="542"/>
      <c r="G208" s="541">
        <f>HLOOKUP("start",ESLData!H$1:H$9983,MATCH($A208,ESLData!$B$1:$B$9983,0))</f>
        <v>2229.0300000000002</v>
      </c>
      <c r="H208" s="542"/>
    </row>
    <row r="209" spans="1:9" x14ac:dyDescent="0.2">
      <c r="A209" s="540">
        <v>46240</v>
      </c>
      <c r="C209" s="541">
        <f>HLOOKUP("start",ESLData!E$1:E$9983,MATCH($A209,ESLData!$B$1:$B$9983,0))</f>
        <v>4689.1899999999996</v>
      </c>
      <c r="D209" s="542">
        <f>+C209+C208</f>
        <v>6998.0199999999995</v>
      </c>
      <c r="E209" s="541">
        <f>HLOOKUP("start",ESLData!F$1:F$9983,MATCH($A209,ESLData!$B$1:$B$9983,0))</f>
        <v>4600</v>
      </c>
      <c r="F209" s="542">
        <f>+E209+E208</f>
        <v>7100</v>
      </c>
      <c r="G209" s="541">
        <f>HLOOKUP("start",ESLData!H$1:H$9983,MATCH($A209,ESLData!$B$1:$B$9983,0))</f>
        <v>4585.6499999999996</v>
      </c>
      <c r="H209" s="542">
        <f>+G208+G209</f>
        <v>6814.68</v>
      </c>
    </row>
    <row r="210" spans="1:9" x14ac:dyDescent="0.2">
      <c r="A210" s="538" t="s">
        <v>902</v>
      </c>
      <c r="C210" s="541"/>
      <c r="E210" s="541"/>
      <c r="G210" s="541"/>
    </row>
    <row r="211" spans="1:9" x14ac:dyDescent="0.2">
      <c r="A211" s="540">
        <v>46520</v>
      </c>
      <c r="C211" s="541">
        <f>HLOOKUP("start",ESLData!E$1:E$9983,MATCH($A211,ESLData!$B$1:$B$9983,0))</f>
        <v>7.92</v>
      </c>
      <c r="E211" s="541">
        <f>HLOOKUP("start",ESLData!F$1:F$9983,MATCH($A211,ESLData!$B$1:$B$9983,0))</f>
        <v>200</v>
      </c>
      <c r="G211" s="541">
        <f>HLOOKUP("start",ESLData!H$1:H$9983,MATCH($A211,ESLData!$B$1:$B$9983,0))</f>
        <v>106</v>
      </c>
    </row>
    <row r="212" spans="1:9" x14ac:dyDescent="0.2">
      <c r="A212" s="540">
        <v>46560</v>
      </c>
      <c r="C212" s="541">
        <f>HLOOKUP("start",ESLData!E$1:E$9983,MATCH($A212,ESLData!$B$1:$B$9983,0))</f>
        <v>0</v>
      </c>
      <c r="E212" s="541">
        <f>HLOOKUP("start",ESLData!F$1:F$9983,MATCH($A212,ESLData!$B$1:$B$9983,0))</f>
        <v>0</v>
      </c>
      <c r="G212" s="541">
        <f>HLOOKUP("start",ESLData!H$1:H$9983,MATCH($A212,ESLData!$B$1:$B$9983,0))</f>
        <v>0</v>
      </c>
    </row>
    <row r="213" spans="1:9" x14ac:dyDescent="0.2">
      <c r="A213" s="540">
        <v>46570</v>
      </c>
      <c r="C213" s="541">
        <f>HLOOKUP("start",ESLData!E$1:E$9983,MATCH($A213,ESLData!$B$1:$B$9983,0))</f>
        <v>0</v>
      </c>
      <c r="E213" s="541">
        <f>HLOOKUP("start",ESLData!F$1:F$9983,MATCH($A213,ESLData!$B$1:$B$9983,0))</f>
        <v>0</v>
      </c>
      <c r="G213" s="541">
        <f>HLOOKUP("start",ESLData!H$1:H$9983,MATCH($A213,ESLData!$B$1:$B$9983,0))</f>
        <v>0</v>
      </c>
    </row>
    <row r="214" spans="1:9" x14ac:dyDescent="0.2">
      <c r="A214" s="540">
        <v>46575</v>
      </c>
      <c r="C214" s="541">
        <f>HLOOKUP("start",ESLData!E$1:E$9983,MATCH($A214,ESLData!$B$1:$B$9983,0))</f>
        <v>0</v>
      </c>
      <c r="E214" s="541">
        <f>HLOOKUP("start",ESLData!F$1:F$9983,MATCH($A214,ESLData!$B$1:$B$9983,0))</f>
        <v>0</v>
      </c>
      <c r="G214" s="541">
        <f>HLOOKUP("start",ESLData!H$1:H$9983,MATCH($A214,ESLData!$B$1:$B$9983,0))</f>
        <v>0</v>
      </c>
    </row>
    <row r="215" spans="1:9" x14ac:dyDescent="0.2">
      <c r="A215" s="540">
        <v>46580</v>
      </c>
      <c r="C215" s="541">
        <f>HLOOKUP("start",ESLData!E$1:E$9983,MATCH($A215,ESLData!$B$1:$B$9983,0))</f>
        <v>350</v>
      </c>
      <c r="E215" s="541">
        <f>HLOOKUP("start",ESLData!F$1:F$9983,MATCH($A215,ESLData!$B$1:$B$9983,0))</f>
        <v>4500</v>
      </c>
      <c r="G215" s="541">
        <f>HLOOKUP("start",ESLData!H$1:H$9983,MATCH($A215,ESLData!$B$1:$B$9983,0))</f>
        <v>4427.03</v>
      </c>
    </row>
    <row r="216" spans="1:9" x14ac:dyDescent="0.2">
      <c r="A216" s="540">
        <v>46640</v>
      </c>
      <c r="C216" s="541">
        <f>HLOOKUP("start",ESLData!E$1:E$9983,MATCH($A216,ESLData!$B$1:$B$9983,0))</f>
        <v>24711.8</v>
      </c>
      <c r="E216" s="541">
        <f>HLOOKUP("start",ESLData!F$1:F$9983,MATCH($A216,ESLData!$B$1:$B$9983,0))</f>
        <v>17800</v>
      </c>
      <c r="G216" s="541">
        <f>HLOOKUP("start",ESLData!H$1:H$9983,MATCH($A216,ESLData!$B$1:$B$9983,0))</f>
        <v>17990.27</v>
      </c>
    </row>
    <row r="217" spans="1:9" x14ac:dyDescent="0.2">
      <c r="A217" s="540">
        <v>46660</v>
      </c>
      <c r="C217" s="541">
        <f>HLOOKUP("start",ESLData!E$1:E$9983,MATCH($A217,ESLData!$B$1:$B$9983,0))</f>
        <v>0</v>
      </c>
      <c r="E217" s="541">
        <f>HLOOKUP("start",ESLData!F$1:F$9983,MATCH($A217,ESLData!$B$1:$B$9983,0))</f>
        <v>0</v>
      </c>
      <c r="G217" s="541">
        <f>HLOOKUP("start",ESLData!H$1:H$9983,MATCH($A217,ESLData!$B$1:$B$9983,0))</f>
        <v>0</v>
      </c>
    </row>
    <row r="218" spans="1:9" x14ac:dyDescent="0.2">
      <c r="A218" s="540">
        <v>46665</v>
      </c>
      <c r="C218" s="541">
        <f>HLOOKUP("start",ESLData!E$1:E$9983,MATCH($A218,ESLData!$B$1:$B$9983,0))</f>
        <v>0</v>
      </c>
      <c r="E218" s="541">
        <f>HLOOKUP("start",ESLData!F$1:F$9983,MATCH($A218,ESLData!$B$1:$B$9983,0))</f>
        <v>1500</v>
      </c>
      <c r="G218" s="541">
        <f>HLOOKUP("start",ESLData!H$1:H$9983,MATCH($A218,ESLData!$B$1:$B$9983,0))</f>
        <v>91.83</v>
      </c>
    </row>
    <row r="219" spans="1:9" x14ac:dyDescent="0.2">
      <c r="A219" s="540">
        <v>46670</v>
      </c>
      <c r="C219" s="541">
        <f>HLOOKUP("start",ESLData!E$1:E$9983,MATCH($A219,ESLData!$B$1:$B$9983,0))</f>
        <v>1632.85</v>
      </c>
      <c r="E219" s="541">
        <f>HLOOKUP("start",ESLData!F$1:F$9983,MATCH($A219,ESLData!$B$1:$B$9983,0))</f>
        <v>700</v>
      </c>
      <c r="G219" s="541">
        <f>HLOOKUP("start",ESLData!H$1:H$9983,MATCH($A219,ESLData!$B$1:$B$9983,0))</f>
        <v>344</v>
      </c>
    </row>
    <row r="220" spans="1:9" x14ac:dyDescent="0.2">
      <c r="A220" s="540">
        <v>46675</v>
      </c>
      <c r="C220" s="541">
        <f>HLOOKUP("start",ESLData!E$1:E$9983,MATCH($A220,ESLData!$B$1:$B$9983,0))</f>
        <v>50884.65</v>
      </c>
      <c r="E220" s="541">
        <f>HLOOKUP("start",ESLData!F$1:F$9983,MATCH($A220,ESLData!$B$1:$B$9983,0))</f>
        <v>66000</v>
      </c>
      <c r="G220" s="541">
        <f>HLOOKUP("start",ESLData!H$1:H$9983,MATCH($A220,ESLData!$B$1:$B$9983,0))</f>
        <v>34491.730000000003</v>
      </c>
    </row>
    <row r="221" spans="1:9" x14ac:dyDescent="0.2">
      <c r="A221" s="540">
        <v>46680</v>
      </c>
      <c r="C221" s="541">
        <f>HLOOKUP("start",ESLData!E$1:E$9983,MATCH($A221,ESLData!$B$1:$B$9983,0))</f>
        <v>0</v>
      </c>
      <c r="E221" s="541">
        <f>HLOOKUP("start",ESLData!F$1:F$9983,MATCH($A221,ESLData!$B$1:$B$9983,0))</f>
        <v>10000</v>
      </c>
      <c r="G221" s="541">
        <f>HLOOKUP("start",ESLData!H$1:H$9983,MATCH($A221,ESLData!$B$1:$B$9983,0))</f>
        <v>9593.8700000000008</v>
      </c>
    </row>
    <row r="222" spans="1:9" x14ac:dyDescent="0.2">
      <c r="A222" s="540">
        <v>46785</v>
      </c>
      <c r="C222" s="541">
        <f>HLOOKUP("start",ESLData!E$1:E$9983,MATCH($A222,ESLData!$B$1:$B$9983,0))</f>
        <v>12644.78</v>
      </c>
      <c r="E222" s="541">
        <f>HLOOKUP("start",ESLData!F$1:F$9983,MATCH($A222,ESLData!$B$1:$B$9983,0))</f>
        <v>108500</v>
      </c>
      <c r="G222" s="541">
        <f>HLOOKUP("start",ESLData!H$1:H$9983,MATCH($A222,ESLData!$B$1:$B$9983,0))</f>
        <v>0</v>
      </c>
      <c r="I222" s="547"/>
    </row>
    <row r="223" spans="1:9" x14ac:dyDescent="0.2">
      <c r="A223" s="540">
        <v>46685</v>
      </c>
      <c r="C223" s="541">
        <f>HLOOKUP("start",ESLData!E$1:E$9983,MATCH($A223,ESLData!$B$1:$B$9983,0))</f>
        <v>1768.64</v>
      </c>
      <c r="E223" s="541">
        <f>HLOOKUP("start",ESLData!F$1:F$9983,MATCH($A223,ESLData!$B$1:$B$9983,0))</f>
        <v>5000</v>
      </c>
      <c r="G223" s="541">
        <f>HLOOKUP("start",ESLData!H$1:H$9983,MATCH($A223,ESLData!$B$1:$B$9983,0))</f>
        <v>2646.92</v>
      </c>
    </row>
    <row r="224" spans="1:9" x14ac:dyDescent="0.2">
      <c r="A224" s="540">
        <v>46690</v>
      </c>
      <c r="C224" s="541">
        <f>HLOOKUP("start",ESLData!E$1:E$9983,MATCH($A224,ESLData!$B$1:$B$9983,0))</f>
        <v>2821.25</v>
      </c>
      <c r="D224" s="542">
        <f>SUM(C211:C224)</f>
        <v>94821.89</v>
      </c>
      <c r="E224" s="541">
        <f>HLOOKUP("start",ESLData!F$1:F$9983,MATCH($A224,ESLData!$B$1:$B$9983,0))</f>
        <v>5000</v>
      </c>
      <c r="F224" s="542">
        <f>SUM(E211:E224)</f>
        <v>219200</v>
      </c>
      <c r="G224" s="541">
        <f>HLOOKUP("start",ESLData!H$1:H$9983,MATCH($A224,ESLData!$B$1:$B$9983,0))</f>
        <v>3077.21</v>
      </c>
      <c r="H224" s="542">
        <f>SUM(G211:G224)</f>
        <v>72768.86</v>
      </c>
    </row>
    <row r="225" spans="1:8" x14ac:dyDescent="0.2">
      <c r="A225" s="538" t="s">
        <v>613</v>
      </c>
      <c r="C225" s="541"/>
      <c r="D225" s="542"/>
      <c r="E225" s="541"/>
      <c r="F225" s="542"/>
      <c r="G225" s="541"/>
      <c r="H225" s="542"/>
    </row>
    <row r="226" spans="1:8" x14ac:dyDescent="0.2">
      <c r="A226" s="540">
        <v>30690</v>
      </c>
      <c r="C226" s="541">
        <f>HLOOKUP("start",ESLData!E$1:E$9983,MATCH($A226,ESLData!$B$1:$B$9983,0))</f>
        <v>16553.86</v>
      </c>
      <c r="E226" s="541">
        <f>HLOOKUP("start",ESLData!F$1:F$9983,MATCH($A226,ESLData!$B$1:$B$9983,0))</f>
        <v>0</v>
      </c>
      <c r="G226" s="541">
        <f>HLOOKUP("start",ESLData!H$1:H$9983,MATCH($A226,ESLData!$B$1:$B$9983,0))</f>
        <v>23373.040000000001</v>
      </c>
      <c r="H226" s="542"/>
    </row>
    <row r="227" spans="1:8" x14ac:dyDescent="0.2">
      <c r="A227" s="540">
        <v>1999</v>
      </c>
      <c r="C227" s="541">
        <f>HLOOKUP("start",ESLData!E$1:E$9983,MATCH($A227,ESLData!$B$1:$B$9983,0))</f>
        <v>14720</v>
      </c>
      <c r="E227" s="541">
        <f>HLOOKUP("start",ESLData!F$1:F$9983,MATCH($A227,ESLData!$B$1:$B$9983,0))</f>
        <v>0</v>
      </c>
      <c r="G227" s="541">
        <f>HLOOKUP("start",ESLData!H$1:H$9983,MATCH($A227,ESLData!$B$1:$B$9983,0))</f>
        <v>37120</v>
      </c>
      <c r="H227" s="542"/>
    </row>
    <row r="228" spans="1:8" x14ac:dyDescent="0.2">
      <c r="A228" s="540">
        <v>3999</v>
      </c>
      <c r="C228" s="541">
        <f>HLOOKUP("start",ESLData!E$1:E$9983,MATCH($A228,ESLData!$B$1:$B$9983,0))</f>
        <v>0</v>
      </c>
      <c r="E228" s="541">
        <f>HLOOKUP("start",ESLData!F$1:F$9983,MATCH($A228,ESLData!$B$1:$B$9983,0))</f>
        <v>0</v>
      </c>
      <c r="G228" s="541">
        <f>HLOOKUP("start",ESLData!H$1:H$9983,MATCH($A228,ESLData!$B$1:$B$9983,0))</f>
        <v>0</v>
      </c>
      <c r="H228" s="542"/>
    </row>
    <row r="229" spans="1:8" x14ac:dyDescent="0.2">
      <c r="A229" s="540">
        <v>30691</v>
      </c>
      <c r="C229" s="541">
        <f>HLOOKUP("start",ESLData!E$1:E$9983,MATCH($A229,ESLData!$B$1:$B$9983,0))</f>
        <v>0</v>
      </c>
      <c r="D229" s="542">
        <f>SUM(C226:C229)</f>
        <v>31273.86</v>
      </c>
      <c r="E229" s="541">
        <f>HLOOKUP("start",ESLData!F$1:F$9983,MATCH($A229,ESLData!$B$1:$B$9983,0))</f>
        <v>0</v>
      </c>
      <c r="F229" s="542">
        <f>SUM(E226:E229)</f>
        <v>0</v>
      </c>
      <c r="G229" s="541">
        <f>HLOOKUP("start",ESLData!H$1:H$9983,MATCH($A229,ESLData!$B$1:$B$9983,0))</f>
        <v>0</v>
      </c>
      <c r="H229" s="542">
        <f>SUM(G226:G229)</f>
        <v>60493.04</v>
      </c>
    </row>
    <row r="230" spans="1:8" x14ac:dyDescent="0.2">
      <c r="A230" s="538" t="s">
        <v>614</v>
      </c>
      <c r="C230" s="541"/>
      <c r="E230" s="541"/>
      <c r="G230" s="541"/>
    </row>
    <row r="231" spans="1:8" x14ac:dyDescent="0.2">
      <c r="A231" s="540">
        <v>46300</v>
      </c>
      <c r="C231" s="541">
        <f>HLOOKUP("start",ESLData!E$1:E$9983,MATCH($A231,ESLData!$B$1:$B$9983,0))</f>
        <v>1646.37</v>
      </c>
      <c r="E231" s="541">
        <f>HLOOKUP("start",ESLData!F$1:F$9983,MATCH($A231,ESLData!$B$1:$B$9983,0))</f>
        <v>5000</v>
      </c>
      <c r="G231" s="541">
        <f>HLOOKUP("start",ESLData!H$1:H$9983,MATCH($A231,ESLData!$B$1:$B$9983,0))</f>
        <v>4508.3900000000003</v>
      </c>
    </row>
    <row r="232" spans="1:8" x14ac:dyDescent="0.2">
      <c r="A232" s="540">
        <v>46644</v>
      </c>
      <c r="C232" s="541">
        <f>HLOOKUP("start",ESLData!E$1:E$9983,MATCH($A232,ESLData!$B$1:$B$9983,0))</f>
        <v>227349.7</v>
      </c>
      <c r="E232" s="541">
        <f>HLOOKUP("start",ESLData!F$1:F$9983,MATCH($A232,ESLData!$B$1:$B$9983,0))</f>
        <v>239610</v>
      </c>
      <c r="G232" s="541">
        <f>HLOOKUP("start",ESLData!H$1:H$9983,MATCH($A232,ESLData!$B$1:$B$9983,0))</f>
        <v>203003.95</v>
      </c>
    </row>
    <row r="233" spans="1:8" x14ac:dyDescent="0.2">
      <c r="A233" s="540">
        <v>46645</v>
      </c>
      <c r="C233" s="541">
        <f>HLOOKUP("start",ESLData!E$1:E$9983,MATCH($A233,ESLData!$B$1:$B$9983,0))</f>
        <v>436</v>
      </c>
      <c r="E233" s="541">
        <f>HLOOKUP("start",ESLData!F$1:F$9983,MATCH($A233,ESLData!$B$1:$B$9983,0))</f>
        <v>3000</v>
      </c>
      <c r="G233" s="541">
        <f>HLOOKUP("start",ESLData!H$1:H$9983,MATCH($A233,ESLData!$B$1:$B$9983,0))</f>
        <v>0</v>
      </c>
    </row>
    <row r="234" spans="1:8" x14ac:dyDescent="0.2">
      <c r="A234" s="540">
        <v>46650</v>
      </c>
      <c r="C234" s="541">
        <f>HLOOKUP("start",ESLData!E$1:E$9983,MATCH($A234,ESLData!$B$1:$B$9983,0))</f>
        <v>0</v>
      </c>
      <c r="E234" s="541">
        <f>HLOOKUP("start",ESLData!F$1:F$9983,MATCH($A234,ESLData!$B$1:$B$9983,0))</f>
        <v>0</v>
      </c>
      <c r="G234" s="541">
        <f>HLOOKUP("start",ESLData!H$1:H$9983,MATCH($A234,ESLData!$B$1:$B$9983,0))</f>
        <v>0</v>
      </c>
    </row>
    <row r="235" spans="1:8" x14ac:dyDescent="0.2">
      <c r="A235" s="540">
        <v>46655</v>
      </c>
      <c r="C235" s="541">
        <f>HLOOKUP("start",ESLData!E$1:E$9983,MATCH($A235,ESLData!$B$1:$B$9983,0))</f>
        <v>2218.63</v>
      </c>
      <c r="E235" s="541">
        <f>HLOOKUP("start",ESLData!F$1:F$9983,MATCH($A235,ESLData!$B$1:$B$9983,0))</f>
        <v>5470</v>
      </c>
      <c r="G235" s="541">
        <f>HLOOKUP("start",ESLData!H$1:H$9983,MATCH($A235,ESLData!$B$1:$B$9983,0))</f>
        <v>3546.9</v>
      </c>
    </row>
    <row r="236" spans="1:8" x14ac:dyDescent="0.2">
      <c r="A236" s="540">
        <v>46657</v>
      </c>
      <c r="C236" s="541">
        <f>HLOOKUP("start",ESLData!E$1:E$9983,MATCH($A236,ESLData!$B$1:$B$9983,0))</f>
        <v>21491.25</v>
      </c>
      <c r="D236" s="542">
        <f>SUM(C231:C236)</f>
        <v>253141.95</v>
      </c>
      <c r="E236" s="541">
        <f>HLOOKUP("start",ESLData!F$1:F$9983,MATCH($A236,ESLData!$B$1:$B$9983,0))</f>
        <v>36500</v>
      </c>
      <c r="F236" s="542">
        <f>SUM(E231:E236)</f>
        <v>289580</v>
      </c>
      <c r="G236" s="541">
        <f>HLOOKUP("start",ESLData!H$1:H$9983,MATCH($A236,ESLData!$B$1:$B$9983,0))</f>
        <v>0</v>
      </c>
      <c r="H236" s="542">
        <f>SUM(G231:G236)</f>
        <v>211059.24000000002</v>
      </c>
    </row>
    <row r="237" spans="1:8" x14ac:dyDescent="0.2">
      <c r="A237" s="538" t="s">
        <v>1025</v>
      </c>
      <c r="C237" s="541"/>
      <c r="E237" s="541"/>
      <c r="G237" s="541"/>
    </row>
    <row r="238" spans="1:8" x14ac:dyDescent="0.2">
      <c r="A238" s="540">
        <v>46760</v>
      </c>
      <c r="C238" s="541">
        <f>HLOOKUP("start",ESLData!E$1:E$9983,MATCH($A238,ESLData!$B$1:$B$9983,0))</f>
        <v>1064</v>
      </c>
      <c r="E238" s="541">
        <f>HLOOKUP("start",ESLData!F$1:F$9983,MATCH($A238,ESLData!$B$1:$B$9983,0))</f>
        <v>0</v>
      </c>
      <c r="G238" s="541">
        <f>HLOOKUP("start",ESLData!H$1:H$9983,MATCH($A238,ESLData!$B$1:$B$9983,0))</f>
        <v>1100</v>
      </c>
    </row>
    <row r="239" spans="1:8" x14ac:dyDescent="0.2">
      <c r="A239" s="540">
        <v>46765</v>
      </c>
      <c r="C239" s="541">
        <f>HLOOKUP("start",ESLData!E$1:E$9983,MATCH($A239,ESLData!$B$1:$B$9983,0))</f>
        <v>198.63</v>
      </c>
      <c r="E239" s="541">
        <f>HLOOKUP("start",ESLData!F$1:F$9983,MATCH($A239,ESLData!$B$1:$B$9983,0))</f>
        <v>750</v>
      </c>
      <c r="G239" s="541">
        <f>HLOOKUP("start",ESLData!H$1:H$9983,MATCH($A239,ESLData!$B$1:$B$9983,0))</f>
        <v>788.98</v>
      </c>
    </row>
    <row r="240" spans="1:8" x14ac:dyDescent="0.2">
      <c r="A240" s="540">
        <v>46770</v>
      </c>
      <c r="C240" s="541">
        <f>HLOOKUP("start",ESLData!E$1:E$9983,MATCH($A240,ESLData!$B$1:$B$9983,0))</f>
        <v>113.98</v>
      </c>
      <c r="E240" s="541">
        <f>HLOOKUP("start",ESLData!F$1:F$9983,MATCH($A240,ESLData!$B$1:$B$9983,0))</f>
        <v>300</v>
      </c>
      <c r="G240" s="541">
        <f>HLOOKUP("start",ESLData!H$1:H$9983,MATCH($A240,ESLData!$B$1:$B$9983,0))</f>
        <v>131.61000000000001</v>
      </c>
    </row>
    <row r="241" spans="1:9" x14ac:dyDescent="0.2">
      <c r="A241" s="540">
        <v>46775</v>
      </c>
      <c r="C241" s="541">
        <f>HLOOKUP("start",ESLData!E$1:E$9983,MATCH($A241,ESLData!$B$1:$B$9983,0))</f>
        <v>0</v>
      </c>
      <c r="E241" s="541">
        <f>HLOOKUP("start",ESLData!F$1:F$9983,MATCH($A241,ESLData!$B$1:$B$9983,0))</f>
        <v>250</v>
      </c>
      <c r="G241" s="541">
        <f>HLOOKUP("start",ESLData!H$1:H$9983,MATCH($A241,ESLData!$B$1:$B$9983,0))</f>
        <v>137.09</v>
      </c>
    </row>
    <row r="242" spans="1:9" x14ac:dyDescent="0.2">
      <c r="A242" s="540">
        <v>46780</v>
      </c>
      <c r="C242" s="541">
        <f>HLOOKUP("start",ESLData!E$1:E$9983,MATCH($A242,ESLData!$B$1:$B$9983,0))</f>
        <v>122.63</v>
      </c>
      <c r="D242" s="542">
        <f>SUM(C238:C242)</f>
        <v>1499.2400000000002</v>
      </c>
      <c r="E242" s="541">
        <f>HLOOKUP("start",ESLData!F$1:F$9983,MATCH($A242,ESLData!$B$1:$B$9983,0))</f>
        <v>250</v>
      </c>
      <c r="F242" s="542">
        <f>SUM(E238:E242)</f>
        <v>1550</v>
      </c>
      <c r="G242" s="541">
        <f>HLOOKUP("start",ESLData!H$1:H$9983,MATCH($A242,ESLData!$B$1:$B$9983,0))</f>
        <v>306.55</v>
      </c>
      <c r="H242" s="542">
        <f>SUM(G238:G242)</f>
        <v>2464.2300000000005</v>
      </c>
    </row>
    <row r="243" spans="1:9" x14ac:dyDescent="0.2">
      <c r="A243" s="538" t="s">
        <v>608</v>
      </c>
      <c r="C243" s="541"/>
      <c r="E243" s="541"/>
      <c r="G243" s="541"/>
    </row>
    <row r="244" spans="1:9" x14ac:dyDescent="0.2">
      <c r="A244" s="540">
        <v>46800</v>
      </c>
      <c r="C244" s="541">
        <f>HLOOKUP("start",ESLData!E$1:E$9983,MATCH($A244,ESLData!$B$1:$B$9983,0))</f>
        <v>3634.95</v>
      </c>
      <c r="E244" s="541">
        <f>HLOOKUP("start",ESLData!F$1:F$9983,MATCH($A244,ESLData!$B$1:$B$9983,0))</f>
        <v>5500</v>
      </c>
      <c r="G244" s="541">
        <f>HLOOKUP("start",ESLData!H$1:H$9983,MATCH($A244,ESLData!$B$1:$B$9983,0))</f>
        <v>813.04</v>
      </c>
      <c r="I244" s="547" t="s">
        <v>1283</v>
      </c>
    </row>
    <row r="245" spans="1:9" x14ac:dyDescent="0.2">
      <c r="A245" s="540">
        <v>46820</v>
      </c>
      <c r="C245" s="541">
        <f>HLOOKUP("start",ESLData!E$1:E$9983,MATCH($A245,ESLData!$B$1:$B$9983,0))</f>
        <v>0</v>
      </c>
      <c r="E245" s="541">
        <f>HLOOKUP("start",ESLData!F$1:F$9983,MATCH($A245,ESLData!$B$1:$B$9983,0))</f>
        <v>500</v>
      </c>
      <c r="G245" s="541">
        <f>HLOOKUP("start",ESLData!H$1:H$9983,MATCH($A245,ESLData!$B$1:$B$9983,0))</f>
        <v>0</v>
      </c>
    </row>
    <row r="246" spans="1:9" x14ac:dyDescent="0.2">
      <c r="A246" s="540">
        <v>46860</v>
      </c>
      <c r="C246" s="541">
        <f>HLOOKUP("start",ESLData!E$1:E$9983,MATCH($A246,ESLData!$B$1:$B$9983,0))</f>
        <v>214167.1</v>
      </c>
      <c r="E246" s="541">
        <f>HLOOKUP("start",ESLData!F$1:F$9983,MATCH($A246,ESLData!$B$1:$B$9983,0))</f>
        <v>213908</v>
      </c>
      <c r="G246" s="541">
        <f>HLOOKUP("start",ESLData!H$1:H$9983,MATCH($A246,ESLData!$B$1:$B$9983,0))</f>
        <v>207155.17</v>
      </c>
    </row>
    <row r="247" spans="1:9" x14ac:dyDescent="0.2">
      <c r="A247" s="540">
        <v>46861</v>
      </c>
      <c r="C247" s="541">
        <f>HLOOKUP("start",ESLData!E$1:E$9983,MATCH($A247,ESLData!$B$1:$B$9983,0))</f>
        <v>0</v>
      </c>
      <c r="E247" s="541">
        <f>HLOOKUP("start",ESLData!F$1:F$9983,MATCH($A247,ESLData!$B$1:$B$9983,0))</f>
        <v>0</v>
      </c>
      <c r="G247" s="541">
        <f>HLOOKUP("start",ESLData!H$1:H$9983,MATCH($A247,ESLData!$B$1:$B$9983,0))</f>
        <v>7855.54</v>
      </c>
    </row>
    <row r="248" spans="1:9" x14ac:dyDescent="0.2">
      <c r="A248" s="540">
        <v>46880</v>
      </c>
      <c r="C248" s="541">
        <f>HLOOKUP("start",ESLData!E$1:E$9983,MATCH($A248,ESLData!$B$1:$B$9983,0))</f>
        <v>1087.5899999999999</v>
      </c>
      <c r="E248" s="541">
        <f>HLOOKUP("start",ESLData!F$1:F$9983,MATCH($A248,ESLData!$B$1:$B$9983,0))</f>
        <v>3000</v>
      </c>
      <c r="G248" s="541">
        <f>HLOOKUP("start",ESLData!H$1:H$9983,MATCH($A248,ESLData!$B$1:$B$9983,0))</f>
        <v>310</v>
      </c>
    </row>
    <row r="249" spans="1:9" x14ac:dyDescent="0.2">
      <c r="A249" s="540">
        <v>46885</v>
      </c>
      <c r="C249" s="541">
        <f>HLOOKUP("start",ESLData!E$1:E$9983,MATCH($A249,ESLData!$B$1:$B$9983,0))</f>
        <v>800.79</v>
      </c>
      <c r="E249" s="541">
        <f>HLOOKUP("start",ESLData!F$1:F$9983,MATCH($A249,ESLData!$B$1:$B$9983,0))</f>
        <v>0</v>
      </c>
      <c r="G249" s="541">
        <f>HLOOKUP("start",ESLData!H$1:H$9983,MATCH($A249,ESLData!$B$1:$B$9983,0))</f>
        <v>64111.77</v>
      </c>
    </row>
    <row r="250" spans="1:9" x14ac:dyDescent="0.2">
      <c r="A250" s="540">
        <v>46888</v>
      </c>
      <c r="C250" s="541">
        <f>HLOOKUP("start",ESLData!E$1:E$9983,MATCH($A250,ESLData!$B$1:$B$9983,0))</f>
        <v>7799.42</v>
      </c>
      <c r="E250" s="541">
        <f>HLOOKUP("start",ESLData!F$1:F$9983,MATCH($A250,ESLData!$B$1:$B$9983,0))</f>
        <v>15000</v>
      </c>
      <c r="G250" s="541">
        <f>HLOOKUP("start",ESLData!H$1:H$9983,MATCH($A250,ESLData!$B$1:$B$9983,0))</f>
        <v>6171.83</v>
      </c>
    </row>
    <row r="251" spans="1:9" x14ac:dyDescent="0.2">
      <c r="A251" s="540">
        <v>46886</v>
      </c>
      <c r="C251" s="541">
        <f>HLOOKUP("start",ESLData!E$1:E$9983,MATCH($A251,ESLData!$B$1:$B$9983,0))</f>
        <v>3652.5</v>
      </c>
      <c r="D251" s="542">
        <f>SUM(C244:C251)</f>
        <v>231142.35000000003</v>
      </c>
      <c r="E251" s="541">
        <f>HLOOKUP("start",ESLData!F$1:F$9983,MATCH($A251,ESLData!$B$1:$B$9983,0))</f>
        <v>3000</v>
      </c>
      <c r="F251" s="542">
        <f>SUM(E244:E251)</f>
        <v>240908</v>
      </c>
      <c r="G251" s="541">
        <f>HLOOKUP("start",ESLData!H$1:H$9983,MATCH($A251,ESLData!$B$1:$B$9983,0))</f>
        <v>3040</v>
      </c>
      <c r="H251" s="542">
        <f>SUM(G244:G251)</f>
        <v>289457.35000000003</v>
      </c>
    </row>
    <row r="252" spans="1:9" x14ac:dyDescent="0.2">
      <c r="A252" s="538" t="s">
        <v>615</v>
      </c>
      <c r="C252" s="541"/>
      <c r="E252" s="541"/>
      <c r="G252" s="541"/>
    </row>
    <row r="253" spans="1:9" x14ac:dyDescent="0.2">
      <c r="A253" s="540">
        <v>46950</v>
      </c>
      <c r="C253" s="541">
        <f>HLOOKUP("start",ESLData!E$1:E$9983,MATCH($A253,ESLData!$B$1:$B$9983,0))</f>
        <v>0</v>
      </c>
      <c r="E253" s="541">
        <f>HLOOKUP("start",ESLData!F$1:F$9983,MATCH($A253,ESLData!$B$1:$B$9983,0))</f>
        <v>450</v>
      </c>
      <c r="G253" s="541">
        <f>HLOOKUP("start",ESLData!H$1:H$9983,MATCH($A253,ESLData!$B$1:$B$9983,0))</f>
        <v>0</v>
      </c>
    </row>
    <row r="254" spans="1:9" x14ac:dyDescent="0.2">
      <c r="A254" s="546" t="s">
        <v>825</v>
      </c>
      <c r="C254" s="541"/>
      <c r="E254" s="541"/>
      <c r="G254" s="541"/>
    </row>
    <row r="255" spans="1:9" x14ac:dyDescent="0.2">
      <c r="A255" s="548" t="s">
        <v>849</v>
      </c>
      <c r="C255" s="541"/>
      <c r="E255" s="541"/>
      <c r="G255" s="541"/>
    </row>
    <row r="256" spans="1:9" x14ac:dyDescent="0.2">
      <c r="A256" s="540">
        <v>57000</v>
      </c>
      <c r="C256" s="541">
        <f>HLOOKUP("start",ESLData!E$1:E$9983,MATCH($A256,ESLData!$B$1:$B$9983,0))</f>
        <v>11628.85</v>
      </c>
      <c r="E256" s="541">
        <f>HLOOKUP("start",ESLData!F$1:F$9983,MATCH($A256,ESLData!$B$1:$B$9983,0))</f>
        <v>13500</v>
      </c>
      <c r="G256" s="541">
        <f>HLOOKUP("start",ESLData!H$1:H$9983,MATCH($A256,ESLData!$B$1:$B$9983,0))</f>
        <v>11674.44</v>
      </c>
    </row>
    <row r="257" spans="1:8" x14ac:dyDescent="0.2">
      <c r="A257" s="540">
        <v>57120</v>
      </c>
      <c r="C257" s="541">
        <f>HLOOKUP("start",ESLData!E$1:E$9983,MATCH($A257,ESLData!$B$1:$B$9983,0))</f>
        <v>11156.81</v>
      </c>
      <c r="E257" s="541">
        <f>HLOOKUP("start",ESLData!F$1:F$9983,MATCH($A257,ESLData!$B$1:$B$9983,0))</f>
        <v>11000</v>
      </c>
      <c r="G257" s="541">
        <f>HLOOKUP("start",ESLData!H$1:H$9983,MATCH($A257,ESLData!$B$1:$B$9983,0))</f>
        <v>11309.82</v>
      </c>
    </row>
    <row r="258" spans="1:8" x14ac:dyDescent="0.2">
      <c r="A258" s="540">
        <v>57130</v>
      </c>
      <c r="C258" s="541">
        <f>HLOOKUP("start",ESLData!E$1:E$9983,MATCH($A258,ESLData!$B$1:$B$9983,0))</f>
        <v>0</v>
      </c>
      <c r="E258" s="541">
        <f>HLOOKUP("start",ESLData!F$1:F$9983,MATCH($A258,ESLData!$B$1:$B$9983,0))</f>
        <v>0</v>
      </c>
      <c r="G258" s="541">
        <f>HLOOKUP("start",ESLData!H$1:H$9983,MATCH($A258,ESLData!$B$1:$B$9983,0))</f>
        <v>0</v>
      </c>
    </row>
    <row r="259" spans="1:8" x14ac:dyDescent="0.2">
      <c r="A259" s="540">
        <v>57140</v>
      </c>
      <c r="C259" s="541">
        <f>HLOOKUP("start",ESLData!E$1:E$9983,MATCH($A259,ESLData!$B$1:$B$9983,0))</f>
        <v>0</v>
      </c>
      <c r="D259" s="542">
        <f>SUM(C256:C259)</f>
        <v>22785.66</v>
      </c>
      <c r="E259" s="541">
        <f>HLOOKUP("start",ESLData!F$1:F$9983,MATCH($A259,ESLData!$B$1:$B$9983,0))</f>
        <v>0</v>
      </c>
      <c r="F259" s="542">
        <f>SUM(E256:E259)</f>
        <v>24500</v>
      </c>
      <c r="G259" s="541">
        <f>HLOOKUP("start",ESLData!H$1:H$9983,MATCH($A259,ESLData!$B$1:$B$9983,0))</f>
        <v>0</v>
      </c>
      <c r="H259" s="542">
        <f>SUM(G256:G259)</f>
        <v>22984.260000000002</v>
      </c>
    </row>
    <row r="260" spans="1:8" x14ac:dyDescent="0.2">
      <c r="A260" s="548" t="s">
        <v>904</v>
      </c>
      <c r="C260" s="541"/>
      <c r="E260" s="541"/>
      <c r="G260" s="541"/>
    </row>
    <row r="261" spans="1:8" x14ac:dyDescent="0.2">
      <c r="A261" s="540">
        <v>57605</v>
      </c>
      <c r="C261" s="541">
        <f>HLOOKUP("start",ESLData!E$1:E$9983,MATCH($A261,ESLData!$B$1:$B$9983,0))</f>
        <v>9284.08</v>
      </c>
      <c r="E261" s="541">
        <f>HLOOKUP("start",ESLData!F$1:F$9983,MATCH($A261,ESLData!$B$1:$B$9983,0))</f>
        <v>8000</v>
      </c>
      <c r="G261" s="541">
        <f>HLOOKUP("start",ESLData!H$1:H$9983,MATCH($A261,ESLData!$B$1:$B$9983,0))</f>
        <v>8682.25</v>
      </c>
    </row>
    <row r="262" spans="1:8" x14ac:dyDescent="0.2">
      <c r="A262" s="540">
        <v>57620</v>
      </c>
      <c r="C262" s="541">
        <f>HLOOKUP("start",ESLData!E$1:E$9983,MATCH($A262,ESLData!$B$1:$B$9983,0))</f>
        <v>0</v>
      </c>
      <c r="E262" s="541">
        <f>HLOOKUP("start",ESLData!F$1:F$9983,MATCH($A262,ESLData!$B$1:$B$9983,0))</f>
        <v>0</v>
      </c>
      <c r="G262" s="541">
        <f>HLOOKUP("start",ESLData!H$1:H$9983,MATCH($A262,ESLData!$B$1:$B$9983,0))</f>
        <v>0</v>
      </c>
    </row>
    <row r="263" spans="1:8" x14ac:dyDescent="0.2">
      <c r="A263" s="540">
        <v>57630</v>
      </c>
      <c r="C263" s="541">
        <f>HLOOKUP("start",ESLData!E$1:E$9983,MATCH($A263,ESLData!$B$1:$B$9983,0))</f>
        <v>3515.86</v>
      </c>
      <c r="E263" s="541">
        <f>HLOOKUP("start",ESLData!F$1:F$9983,MATCH($A263,ESLData!$B$1:$B$9983,0))</f>
        <v>3500</v>
      </c>
      <c r="G263" s="541">
        <f>HLOOKUP("start",ESLData!H$1:H$9983,MATCH($A263,ESLData!$B$1:$B$9983,0))</f>
        <v>4884.57</v>
      </c>
    </row>
    <row r="264" spans="1:8" x14ac:dyDescent="0.2">
      <c r="A264" s="540">
        <v>57690</v>
      </c>
      <c r="C264" s="541">
        <f>HLOOKUP("start",ESLData!E$1:E$9983,MATCH($A264,ESLData!$B$1:$B$9983,0))</f>
        <v>1891.12</v>
      </c>
      <c r="E264" s="541">
        <f>HLOOKUP("start",ESLData!F$1:F$9983,MATCH($A264,ESLData!$B$1:$B$9983,0))</f>
        <v>1900</v>
      </c>
      <c r="G264" s="541">
        <f>HLOOKUP("start",ESLData!H$1:H$9983,MATCH($A264,ESLData!$B$1:$B$9983,0))</f>
        <v>0</v>
      </c>
    </row>
    <row r="265" spans="1:8" x14ac:dyDescent="0.2">
      <c r="A265" s="540">
        <v>58000</v>
      </c>
      <c r="C265" s="541">
        <f>HLOOKUP("start",ESLData!E$1:E$9983,MATCH($A265,ESLData!$B$1:$B$9983,0))</f>
        <v>3215.6</v>
      </c>
      <c r="E265" s="541">
        <f>HLOOKUP("start",ESLData!F$1:F$9983,MATCH($A265,ESLData!$B$1:$B$9983,0))</f>
        <v>2500</v>
      </c>
      <c r="G265" s="541">
        <f>HLOOKUP("start",ESLData!H$1:H$9983,MATCH($A265,ESLData!$B$1:$B$9983,0))</f>
        <v>2749.96</v>
      </c>
    </row>
    <row r="266" spans="1:8" x14ac:dyDescent="0.2">
      <c r="A266" s="540">
        <v>58020</v>
      </c>
      <c r="C266" s="541">
        <f>HLOOKUP("start",ESLData!E$1:E$9983,MATCH($A266,ESLData!$B$1:$B$9983,0))</f>
        <v>7441.38</v>
      </c>
      <c r="D266" s="542">
        <f>SUM(C261:C266)</f>
        <v>25348.04</v>
      </c>
      <c r="E266" s="541">
        <f>HLOOKUP("start",ESLData!F$1:F$9983,MATCH($A266,ESLData!$B$1:$B$9983,0))</f>
        <v>8000</v>
      </c>
      <c r="F266" s="542">
        <f>SUM(E261:E266)</f>
        <v>23900</v>
      </c>
      <c r="G266" s="541">
        <f>HLOOKUP("start",ESLData!H$1:H$9983,MATCH($A266,ESLData!$B$1:$B$9983,0))</f>
        <v>7340.63</v>
      </c>
      <c r="H266" s="542">
        <f>SUM(G261:G266)</f>
        <v>23657.41</v>
      </c>
    </row>
    <row r="267" spans="1:8" x14ac:dyDescent="0.2">
      <c r="A267" s="538" t="s">
        <v>243</v>
      </c>
      <c r="C267" s="541"/>
      <c r="D267" s="542"/>
      <c r="E267" s="541"/>
      <c r="F267" s="542"/>
      <c r="G267" s="541"/>
      <c r="H267" s="542"/>
    </row>
    <row r="268" spans="1:8" x14ac:dyDescent="0.2">
      <c r="A268" s="540">
        <v>57610</v>
      </c>
      <c r="C268" s="541">
        <f>HLOOKUP("start",ESLData!E$1:E$9983,MATCH($A268,ESLData!$B$1:$B$9983,0))</f>
        <v>22811</v>
      </c>
      <c r="E268" s="541">
        <f>HLOOKUP("start",ESLData!F$1:F$9983,MATCH($A268,ESLData!$B$1:$B$9983,0))</f>
        <v>8994</v>
      </c>
      <c r="G268" s="541">
        <f>HLOOKUP("start",ESLData!H$1:H$9983,MATCH($A268,ESLData!$B$1:$B$9983,0))</f>
        <v>15811</v>
      </c>
      <c r="H268" s="542"/>
    </row>
    <row r="269" spans="1:8" x14ac:dyDescent="0.2">
      <c r="A269" s="538" t="s">
        <v>1092</v>
      </c>
      <c r="C269" s="541"/>
      <c r="E269" s="541"/>
      <c r="G269" s="541"/>
      <c r="H269" s="542"/>
    </row>
    <row r="270" spans="1:8" x14ac:dyDescent="0.2">
      <c r="A270" s="540">
        <v>57740</v>
      </c>
      <c r="C270" s="541">
        <f>HLOOKUP("start",ESLData!E$1:E$9983,MATCH($A270,ESLData!$B$1:$B$9983,0))</f>
        <v>7979</v>
      </c>
      <c r="E270" s="541">
        <f>HLOOKUP("start",ESLData!F$1:F$9983,MATCH($A270,ESLData!$B$1:$B$9983,0))</f>
        <v>8000</v>
      </c>
      <c r="G270" s="541">
        <f>HLOOKUP("start",ESLData!H$1:H$9983,MATCH($A270,ESLData!$B$1:$B$9983,0))</f>
        <v>8966</v>
      </c>
    </row>
    <row r="271" spans="1:8" x14ac:dyDescent="0.2">
      <c r="A271" s="538" t="s">
        <v>606</v>
      </c>
      <c r="C271" s="541"/>
      <c r="E271" s="541"/>
      <c r="G271" s="541"/>
    </row>
    <row r="272" spans="1:8" x14ac:dyDescent="0.2">
      <c r="A272" s="540">
        <v>57660</v>
      </c>
      <c r="C272" s="541">
        <f>HLOOKUP("start",ESLData!E$1:E$9983,MATCH($A272,ESLData!$B$1:$B$9983,0))</f>
        <v>37154.11</v>
      </c>
      <c r="E272" s="541">
        <f>HLOOKUP("start",ESLData!F$1:F$9983,MATCH($A272,ESLData!$B$1:$B$9983,0))</f>
        <v>20000</v>
      </c>
      <c r="G272" s="541">
        <f>HLOOKUP("start",ESLData!H$1:H$9983,MATCH($A272,ESLData!$B$1:$B$9983,0))</f>
        <v>33145.86</v>
      </c>
    </row>
    <row r="273" spans="1:8" x14ac:dyDescent="0.2">
      <c r="A273" s="540">
        <v>57710</v>
      </c>
      <c r="C273" s="541">
        <f>HLOOKUP("start",ESLData!E$1:E$9983,MATCH($A273,ESLData!$B$1:$B$9983,0))</f>
        <v>1386.07</v>
      </c>
      <c r="E273" s="541">
        <f>HLOOKUP("start",ESLData!F$1:F$9983,MATCH($A273,ESLData!$B$1:$B$9983,0))</f>
        <v>2000</v>
      </c>
      <c r="G273" s="541">
        <f>HLOOKUP("start",ESLData!H$1:H$9983,MATCH($A273,ESLData!$B$1:$B$9983,0))</f>
        <v>4154.5</v>
      </c>
    </row>
    <row r="274" spans="1:8" x14ac:dyDescent="0.2">
      <c r="A274" s="540">
        <v>57760</v>
      </c>
      <c r="C274" s="541">
        <f>HLOOKUP("start",ESLData!E$1:E$9983,MATCH($A274,ESLData!$B$1:$B$9983,0))</f>
        <v>0</v>
      </c>
      <c r="D274" s="542">
        <f>SUM(C272:C274)</f>
        <v>38540.18</v>
      </c>
      <c r="E274" s="541">
        <f>HLOOKUP("start",ESLData!F$1:F$9983,MATCH($A274,ESLData!$B$1:$B$9983,0))</f>
        <v>0</v>
      </c>
      <c r="F274" s="542">
        <f>SUM(E272:E274)</f>
        <v>22000</v>
      </c>
      <c r="G274" s="541">
        <f>HLOOKUP("start",ESLData!H$1:H$9983,MATCH($A274,ESLData!$B$1:$B$9983,0))</f>
        <v>0</v>
      </c>
      <c r="H274" s="542">
        <f>SUM(G272:G274)</f>
        <v>37300.36</v>
      </c>
    </row>
    <row r="275" spans="1:8" x14ac:dyDescent="0.2">
      <c r="A275" s="538" t="s">
        <v>817</v>
      </c>
      <c r="C275" s="541"/>
      <c r="E275" s="541"/>
      <c r="G275" s="541"/>
    </row>
    <row r="276" spans="1:8" x14ac:dyDescent="0.2">
      <c r="A276" s="540">
        <v>57200</v>
      </c>
      <c r="C276" s="541">
        <f>HLOOKUP("start",ESLData!E$1:E$9983,MATCH($A276,ESLData!$B$1:$B$9983,0))</f>
        <v>8614.42</v>
      </c>
      <c r="E276" s="541">
        <f>HLOOKUP("start",ESLData!F$1:F$9983,MATCH($A276,ESLData!$B$1:$B$9983,0))</f>
        <v>4000</v>
      </c>
      <c r="G276" s="541">
        <f>HLOOKUP("start",ESLData!H$1:H$9983,MATCH($A276,ESLData!$B$1:$B$9983,0))</f>
        <v>3983.62</v>
      </c>
    </row>
    <row r="277" spans="1:8" x14ac:dyDescent="0.2">
      <c r="A277" s="540">
        <v>57260</v>
      </c>
      <c r="C277" s="541">
        <f>HLOOKUP("start",ESLData!E$1:E$9983,MATCH($A277,ESLData!$B$1:$B$9983,0))</f>
        <v>10322.219999999999</v>
      </c>
      <c r="E277" s="541">
        <f>HLOOKUP("start",ESLData!F$1:F$9983,MATCH($A277,ESLData!$B$1:$B$9983,0))</f>
        <v>8000</v>
      </c>
      <c r="G277" s="541">
        <f>HLOOKUP("start",ESLData!H$1:H$9983,MATCH($A277,ESLData!$B$1:$B$9983,0))</f>
        <v>21460.79</v>
      </c>
    </row>
    <row r="278" spans="1:8" x14ac:dyDescent="0.2">
      <c r="A278" s="540">
        <v>57270</v>
      </c>
      <c r="C278" s="541">
        <f>HLOOKUP("start",ESLData!E$1:E$9983,MATCH($A278,ESLData!$B$1:$B$9983,0))</f>
        <v>2074.54</v>
      </c>
      <c r="E278" s="541">
        <f>HLOOKUP("start",ESLData!F$1:F$9983,MATCH($A278,ESLData!$B$1:$B$9983,0))</f>
        <v>2200</v>
      </c>
      <c r="G278" s="541">
        <f>HLOOKUP("start",ESLData!H$1:H$9983,MATCH($A278,ESLData!$B$1:$B$9983,0))</f>
        <v>2674.65</v>
      </c>
    </row>
    <row r="279" spans="1:8" x14ac:dyDescent="0.2">
      <c r="A279" s="540">
        <v>57299</v>
      </c>
      <c r="C279" s="541">
        <f>HLOOKUP("start",ESLData!E$1:E$9983,MATCH($A279,ESLData!$B$1:$B$9983,0))</f>
        <v>2962.76</v>
      </c>
      <c r="E279" s="541">
        <f>HLOOKUP("start",ESLData!F$1:F$9983,MATCH($A279,ESLData!$B$1:$B$9983,0))</f>
        <v>3500</v>
      </c>
      <c r="G279" s="541">
        <f>HLOOKUP("start",ESLData!H$1:H$9983,MATCH($A279,ESLData!$B$1:$B$9983,0))</f>
        <v>5862.69</v>
      </c>
    </row>
    <row r="280" spans="1:8" x14ac:dyDescent="0.2">
      <c r="A280" s="540">
        <v>57600</v>
      </c>
      <c r="C280" s="541">
        <f>HLOOKUP("start",ESLData!E$1:E$9983,MATCH($A280,ESLData!$B$1:$B$9983,0))</f>
        <v>5707.49</v>
      </c>
      <c r="D280" s="542">
        <f>SUM(C276:C280)</f>
        <v>29681.43</v>
      </c>
      <c r="E280" s="541">
        <f>HLOOKUP("start",ESLData!F$1:F$9983,MATCH($A280,ESLData!$B$1:$B$9983,0))</f>
        <v>12000</v>
      </c>
      <c r="F280" s="542">
        <f>SUM(E276:E280)</f>
        <v>29700</v>
      </c>
      <c r="G280" s="541">
        <f>HLOOKUP("start",ESLData!H$1:H$9983,MATCH($A280,ESLData!$B$1:$B$9983,0))</f>
        <v>15700.72</v>
      </c>
      <c r="H280" s="542">
        <f>SUM(G276:G280)</f>
        <v>49682.47</v>
      </c>
    </row>
    <row r="281" spans="1:8" x14ac:dyDescent="0.2">
      <c r="A281" s="538" t="s">
        <v>616</v>
      </c>
      <c r="C281" s="541"/>
      <c r="E281" s="541"/>
      <c r="G281" s="541"/>
    </row>
    <row r="282" spans="1:8" x14ac:dyDescent="0.2">
      <c r="A282" s="540">
        <v>57320</v>
      </c>
      <c r="C282" s="541">
        <f>HLOOKUP("start",ESLData!E$1:E$9983,MATCH($A282,ESLData!$B$1:$B$9983,0))</f>
        <v>36444.660000000003</v>
      </c>
      <c r="E282" s="541">
        <f>HLOOKUP("start",ESLData!F$1:F$9983,MATCH($A282,ESLData!$B$1:$B$9983,0))</f>
        <v>52000</v>
      </c>
      <c r="G282" s="541">
        <f>HLOOKUP("start",ESLData!H$1:H$9983,MATCH($A282,ESLData!$B$1:$B$9983,0))</f>
        <v>47590.36</v>
      </c>
    </row>
    <row r="283" spans="1:8" x14ac:dyDescent="0.2">
      <c r="A283" s="540">
        <v>57340</v>
      </c>
      <c r="C283" s="541">
        <f>HLOOKUP("start",ESLData!E$1:E$9983,MATCH($A283,ESLData!$B$1:$B$9983,0))</f>
        <v>67858.92</v>
      </c>
      <c r="E283" s="541">
        <f>HLOOKUP("start",ESLData!F$1:F$9983,MATCH($A283,ESLData!$B$1:$B$9983,0))</f>
        <v>62000</v>
      </c>
      <c r="G283" s="541">
        <f>HLOOKUP("start",ESLData!H$1:H$9983,MATCH($A283,ESLData!$B$1:$B$9983,0))</f>
        <v>67150.02</v>
      </c>
    </row>
    <row r="284" spans="1:8" x14ac:dyDescent="0.2">
      <c r="A284" s="540">
        <v>57360</v>
      </c>
      <c r="C284" s="541">
        <f>HLOOKUP("start",ESLData!E$1:E$9983,MATCH($A284,ESLData!$B$1:$B$9983,0))</f>
        <v>37410.07</v>
      </c>
      <c r="D284" s="542">
        <f>SUM(C282:C284)</f>
        <v>141713.65</v>
      </c>
      <c r="E284" s="541">
        <f>HLOOKUP("start",ESLData!F$1:F$9983,MATCH($A284,ESLData!$B$1:$B$9983,0))</f>
        <v>30000</v>
      </c>
      <c r="F284" s="542">
        <f>SUM(E282:E284)</f>
        <v>144000</v>
      </c>
      <c r="G284" s="541">
        <f>HLOOKUP("start",ESLData!H$1:H$9983,MATCH($A284,ESLData!$B$1:$B$9983,0))</f>
        <v>34765.14</v>
      </c>
      <c r="H284" s="542">
        <f>SUM(G282:G284)</f>
        <v>149505.52000000002</v>
      </c>
    </row>
    <row r="285" spans="1:8" x14ac:dyDescent="0.2">
      <c r="A285" s="538" t="s">
        <v>244</v>
      </c>
      <c r="C285" s="541"/>
      <c r="D285" s="542"/>
      <c r="E285" s="541"/>
      <c r="F285" s="542"/>
      <c r="G285" s="541"/>
      <c r="H285" s="542"/>
    </row>
    <row r="286" spans="1:8" x14ac:dyDescent="0.2">
      <c r="A286" s="540">
        <v>57850</v>
      </c>
      <c r="C286" s="541">
        <f>HLOOKUP("start",ESLData!E$1:E$9983,MATCH($A286,ESLData!$B$1:$B$9983,0))</f>
        <v>0</v>
      </c>
      <c r="E286" s="541">
        <f>HLOOKUP("start",ESLData!F$1:F$9983,MATCH($A286,ESLData!$B$1:$B$9983,0))</f>
        <v>0</v>
      </c>
      <c r="G286" s="541">
        <f>HLOOKUP("start",ESLData!H$1:H$9983,MATCH($A286,ESLData!$B$1:$B$9983,0))</f>
        <v>0</v>
      </c>
      <c r="H286" s="542"/>
    </row>
    <row r="287" spans="1:8" x14ac:dyDescent="0.2">
      <c r="A287" s="538" t="s">
        <v>617</v>
      </c>
      <c r="C287" s="541"/>
      <c r="E287" s="541"/>
      <c r="G287" s="541"/>
    </row>
    <row r="288" spans="1:8" x14ac:dyDescent="0.2">
      <c r="A288" s="540">
        <v>1905</v>
      </c>
      <c r="C288" s="541">
        <f>HLOOKUP("start",ESLData!E$1:E$9983,MATCH($A288,ESLData!$B$1:$B$9983,0))</f>
        <v>2386322</v>
      </c>
      <c r="E288" s="541">
        <f>HLOOKUP("start",ESLData!F$1:F$9983,MATCH($A288,ESLData!$B$1:$B$9983,0))</f>
        <v>1581057</v>
      </c>
      <c r="G288" s="541">
        <f>HLOOKUP("start",ESLData!H$1:H$9983,MATCH($A288,ESLData!$B$1:$B$9983,0))</f>
        <v>1237863.8799999999</v>
      </c>
    </row>
    <row r="289" spans="1:8" x14ac:dyDescent="0.2">
      <c r="A289" s="548" t="s">
        <v>845</v>
      </c>
      <c r="C289" s="541"/>
      <c r="E289" s="541"/>
      <c r="G289" s="541"/>
    </row>
    <row r="290" spans="1:8" x14ac:dyDescent="0.2">
      <c r="A290" s="540">
        <v>57420</v>
      </c>
      <c r="C290" s="541">
        <f>HLOOKUP("start",ESLData!E$1:E$9983,MATCH($A290,ESLData!$B$1:$B$9983,0))</f>
        <v>190696.26</v>
      </c>
      <c r="E290" s="541">
        <f>HLOOKUP("start",ESLData!F$1:F$9983,MATCH($A290,ESLData!$B$1:$B$9983,0))</f>
        <v>197268</v>
      </c>
      <c r="G290" s="541">
        <f>HLOOKUP("start",ESLData!H$1:H$9983,MATCH($A290,ESLData!$B$1:$B$9983,0))</f>
        <v>195065.24</v>
      </c>
    </row>
    <row r="291" spans="1:8" x14ac:dyDescent="0.2">
      <c r="A291" s="540">
        <v>57485</v>
      </c>
      <c r="C291" s="541">
        <f>HLOOKUP("start",ESLData!E$1:E$9983,MATCH($A291,ESLData!$B$1:$B$9983,0))</f>
        <v>538</v>
      </c>
      <c r="E291" s="541">
        <f>HLOOKUP("start",ESLData!F$1:F$9983,MATCH($A291,ESLData!$B$1:$B$9983,0))</f>
        <v>750</v>
      </c>
      <c r="G291" s="541">
        <f>HLOOKUP("start",ESLData!H$1:H$9983,MATCH($A291,ESLData!$B$1:$B$9983,0))</f>
        <v>620</v>
      </c>
    </row>
    <row r="292" spans="1:8" x14ac:dyDescent="0.2">
      <c r="A292" s="540">
        <v>57487</v>
      </c>
      <c r="C292" s="541">
        <f>HLOOKUP("start",ESLData!E$1:E$9983,MATCH($A292,ESLData!$B$1:$B$9983,0))</f>
        <v>59.91</v>
      </c>
      <c r="D292" s="542">
        <f>SUM(C290:C292)</f>
        <v>191294.17</v>
      </c>
      <c r="E292" s="541">
        <f>HLOOKUP("start",ESLData!F$1:F$9983,MATCH($A292,ESLData!$B$1:$B$9983,0))</f>
        <v>400</v>
      </c>
      <c r="F292" s="542">
        <f>SUM(E290:E292)</f>
        <v>198418</v>
      </c>
      <c r="G292" s="541">
        <f>HLOOKUP("start",ESLData!H$1:H$9983,MATCH($A292,ESLData!$B$1:$B$9983,0))</f>
        <v>0</v>
      </c>
      <c r="H292" s="542">
        <f>SUM(G290:G292)</f>
        <v>195685.24</v>
      </c>
    </row>
    <row r="293" spans="1:8" x14ac:dyDescent="0.2">
      <c r="A293" s="546" t="s">
        <v>618</v>
      </c>
      <c r="C293" s="541"/>
      <c r="E293" s="541"/>
      <c r="G293" s="541"/>
    </row>
    <row r="294" spans="1:8" x14ac:dyDescent="0.2">
      <c r="A294" s="538" t="s">
        <v>612</v>
      </c>
      <c r="C294" s="541"/>
      <c r="E294" s="541"/>
      <c r="G294" s="541"/>
    </row>
    <row r="295" spans="1:8" x14ac:dyDescent="0.2">
      <c r="A295" s="540">
        <v>35100</v>
      </c>
      <c r="C295" s="541">
        <f>HLOOKUP("start",ESLData!E$1:E$9983,MATCH($A295,ESLData!$B$1:$B$9983,0))</f>
        <v>57.83</v>
      </c>
      <c r="E295" s="541">
        <f>HLOOKUP("start",ESLData!F$1:F$9983,MATCH($A295,ESLData!$B$1:$B$9983,0))</f>
        <v>100</v>
      </c>
      <c r="G295" s="541">
        <f>HLOOKUP("start",ESLData!H$1:H$9983,MATCH($A295,ESLData!$B$1:$B$9983,0))</f>
        <v>19.47</v>
      </c>
    </row>
    <row r="296" spans="1:8" x14ac:dyDescent="0.2">
      <c r="A296" s="540">
        <v>35105</v>
      </c>
      <c r="C296" s="541">
        <f>HLOOKUP("start",ESLData!E$1:E$9983,MATCH($A296,ESLData!$B$1:$B$9983,0))</f>
        <v>151.83000000000001</v>
      </c>
      <c r="E296" s="541">
        <f>HLOOKUP("start",ESLData!F$1:F$9983,MATCH($A296,ESLData!$B$1:$B$9983,0))</f>
        <v>150</v>
      </c>
      <c r="G296" s="541">
        <f>HLOOKUP("start",ESLData!H$1:H$9983,MATCH($A296,ESLData!$B$1:$B$9983,0))</f>
        <v>95.22</v>
      </c>
    </row>
    <row r="297" spans="1:8" x14ac:dyDescent="0.2">
      <c r="A297" s="540">
        <v>35110</v>
      </c>
      <c r="C297" s="541">
        <f>HLOOKUP("start",ESLData!E$1:E$9983,MATCH($A297,ESLData!$B$1:$B$9983,0))</f>
        <v>8167.38</v>
      </c>
      <c r="E297" s="541">
        <f>HLOOKUP("start",ESLData!F$1:F$9983,MATCH($A297,ESLData!$B$1:$B$9983,0))</f>
        <v>10400</v>
      </c>
      <c r="G297" s="541">
        <f>HLOOKUP("start",ESLData!H$1:H$9983,MATCH($A297,ESLData!$B$1:$B$9983,0))</f>
        <v>10173.450000000001</v>
      </c>
    </row>
    <row r="298" spans="1:8" x14ac:dyDescent="0.2">
      <c r="A298" s="540">
        <v>35250</v>
      </c>
      <c r="C298" s="541">
        <f>HLOOKUP("start",ESLData!E$1:E$9983,MATCH($A298,ESLData!$B$1:$B$9983,0))</f>
        <v>0</v>
      </c>
      <c r="E298" s="541">
        <f>HLOOKUP("start",ESLData!F$1:F$9983,MATCH($A298,ESLData!$B$1:$B$9983,0))</f>
        <v>0</v>
      </c>
      <c r="G298" s="541">
        <f>HLOOKUP("start",ESLData!H$1:H$9983,MATCH($A298,ESLData!$B$1:$B$9983,0))</f>
        <v>0</v>
      </c>
    </row>
    <row r="299" spans="1:8" x14ac:dyDescent="0.2">
      <c r="A299" s="540">
        <v>35253</v>
      </c>
      <c r="C299" s="541">
        <f>HLOOKUP("start",ESLData!E$1:E$9983,MATCH($A299,ESLData!$B$1:$B$9983,0))</f>
        <v>0</v>
      </c>
      <c r="E299" s="541">
        <f>HLOOKUP("start",ESLData!F$1:F$9983,MATCH($A299,ESLData!$B$1:$B$9983,0))</f>
        <v>0</v>
      </c>
      <c r="G299" s="541">
        <f>HLOOKUP("start",ESLData!H$1:H$9983,MATCH($A299,ESLData!$B$1:$B$9983,0))</f>
        <v>0</v>
      </c>
    </row>
    <row r="300" spans="1:8" x14ac:dyDescent="0.2">
      <c r="A300" s="540">
        <v>35255</v>
      </c>
      <c r="C300" s="541">
        <f>HLOOKUP("start",ESLData!E$1:E$9983,MATCH($A300,ESLData!$B$1:$B$9983,0))</f>
        <v>0</v>
      </c>
      <c r="E300" s="541">
        <f>HLOOKUP("start",ESLData!F$1:F$9983,MATCH($A300,ESLData!$B$1:$B$9983,0))</f>
        <v>0</v>
      </c>
      <c r="G300" s="541">
        <f>HLOOKUP("start",ESLData!H$1:H$9983,MATCH($A300,ESLData!$B$1:$B$9983,0))</f>
        <v>0</v>
      </c>
    </row>
    <row r="301" spans="1:8" x14ac:dyDescent="0.2">
      <c r="A301" s="540">
        <v>62000</v>
      </c>
      <c r="C301" s="541">
        <f>HLOOKUP("start",ESLData!E$1:E$9983,MATCH($A301,ESLData!$B$1:$B$9983,0))</f>
        <v>131.03</v>
      </c>
      <c r="E301" s="541">
        <f>HLOOKUP("start",ESLData!F$1:F$9983,MATCH($A301,ESLData!$B$1:$B$9983,0))</f>
        <v>300</v>
      </c>
      <c r="G301" s="541">
        <f>HLOOKUP("start",ESLData!H$1:H$9983,MATCH($A301,ESLData!$B$1:$B$9983,0))</f>
        <v>188.05</v>
      </c>
    </row>
    <row r="302" spans="1:8" x14ac:dyDescent="0.2">
      <c r="A302" s="540">
        <v>62050</v>
      </c>
      <c r="C302" s="541">
        <f>HLOOKUP("start",ESLData!E$1:E$9983,MATCH($A302,ESLData!$B$1:$B$9983,0))</f>
        <v>234.59</v>
      </c>
      <c r="E302" s="541">
        <f>HLOOKUP("start",ESLData!F$1:F$9983,MATCH($A302,ESLData!$B$1:$B$9983,0))</f>
        <v>650</v>
      </c>
      <c r="G302" s="541">
        <f>HLOOKUP("start",ESLData!H$1:H$9983,MATCH($A302,ESLData!$B$1:$B$9983,0))</f>
        <v>567.32000000000005</v>
      </c>
    </row>
    <row r="303" spans="1:8" x14ac:dyDescent="0.2">
      <c r="A303" s="540">
        <v>62100</v>
      </c>
      <c r="C303" s="541">
        <f>HLOOKUP("start",ESLData!E$1:E$9983,MATCH($A303,ESLData!$B$1:$B$9983,0))</f>
        <v>9030.5</v>
      </c>
      <c r="E303" s="541">
        <f>HLOOKUP("start",ESLData!F$1:F$9983,MATCH($A303,ESLData!$B$1:$B$9983,0))</f>
        <v>9000</v>
      </c>
      <c r="G303" s="541">
        <f>HLOOKUP("start",ESLData!H$1:H$9983,MATCH($A303,ESLData!$B$1:$B$9983,0))</f>
        <v>9066.2099999999991</v>
      </c>
    </row>
    <row r="304" spans="1:8" x14ac:dyDescent="0.2">
      <c r="A304" s="540">
        <v>63000</v>
      </c>
      <c r="C304" s="541">
        <f>HLOOKUP("start",ESLData!E$1:E$9983,MATCH($A304,ESLData!$B$1:$B$9983,0))</f>
        <v>179.16</v>
      </c>
      <c r="E304" s="541">
        <f>HLOOKUP("start",ESLData!F$1:F$9983,MATCH($A304,ESLData!$B$1:$B$9983,0))</f>
        <v>100</v>
      </c>
      <c r="G304" s="541">
        <f>HLOOKUP("start",ESLData!H$1:H$9983,MATCH($A304,ESLData!$B$1:$B$9983,0))</f>
        <v>102.01</v>
      </c>
    </row>
    <row r="305" spans="1:7" x14ac:dyDescent="0.2">
      <c r="A305" s="540">
        <v>63050</v>
      </c>
      <c r="C305" s="541">
        <f>HLOOKUP("start",ESLData!E$1:E$9983,MATCH($A305,ESLData!$B$1:$B$9983,0))</f>
        <v>376.79</v>
      </c>
      <c r="E305" s="541">
        <f>HLOOKUP("start",ESLData!F$1:F$9983,MATCH($A305,ESLData!$B$1:$B$9983,0))</f>
        <v>100</v>
      </c>
      <c r="G305" s="541">
        <f>HLOOKUP("start",ESLData!H$1:H$9983,MATCH($A305,ESLData!$B$1:$B$9983,0))</f>
        <v>43.48</v>
      </c>
    </row>
    <row r="306" spans="1:7" x14ac:dyDescent="0.2">
      <c r="A306" s="540">
        <v>63100</v>
      </c>
      <c r="C306" s="541">
        <f>HLOOKUP("start",ESLData!E$1:E$9983,MATCH($A306,ESLData!$B$1:$B$9983,0))</f>
        <v>4008.36</v>
      </c>
      <c r="E306" s="541">
        <f>HLOOKUP("start",ESLData!F$1:F$9983,MATCH($A306,ESLData!$B$1:$B$9983,0))</f>
        <v>5500</v>
      </c>
      <c r="G306" s="541">
        <f>HLOOKUP("start",ESLData!H$1:H$9983,MATCH($A306,ESLData!$B$1:$B$9983,0))</f>
        <v>2928.34</v>
      </c>
    </row>
    <row r="307" spans="1:7" x14ac:dyDescent="0.2">
      <c r="A307" s="540">
        <v>35300</v>
      </c>
      <c r="C307" s="541">
        <f>HLOOKUP("start",ESLData!E$1:E$9983,MATCH($A307,ESLData!$B$1:$B$9983,0))</f>
        <v>1299.19</v>
      </c>
      <c r="E307" s="541">
        <f>HLOOKUP("start",ESLData!F$1:F$9983,MATCH($A307,ESLData!$B$1:$B$9983,0))</f>
        <v>1000</v>
      </c>
      <c r="G307" s="541">
        <f>HLOOKUP("start",ESLData!H$1:H$9983,MATCH($A307,ESLData!$B$1:$B$9983,0))</f>
        <v>1153.83</v>
      </c>
    </row>
    <row r="308" spans="1:7" x14ac:dyDescent="0.2">
      <c r="A308" s="540">
        <v>35305</v>
      </c>
      <c r="C308" s="541">
        <f>HLOOKUP("start",ESLData!E$1:E$9983,MATCH($A308,ESLData!$B$1:$B$9983,0))</f>
        <v>4843.1899999999996</v>
      </c>
      <c r="E308" s="541">
        <f>HLOOKUP("start",ESLData!F$1:F$9983,MATCH($A308,ESLData!$B$1:$B$9983,0))</f>
        <v>5700</v>
      </c>
      <c r="G308" s="541">
        <f>HLOOKUP("start",ESLData!H$1:H$9983,MATCH($A308,ESLData!$B$1:$B$9983,0))</f>
        <v>4714.03</v>
      </c>
    </row>
    <row r="309" spans="1:7" x14ac:dyDescent="0.2">
      <c r="A309" s="540">
        <v>35600</v>
      </c>
      <c r="C309" s="541">
        <f>HLOOKUP("start",ESLData!E$1:E$9983,MATCH($A309,ESLData!$B$1:$B$9983,0))</f>
        <v>425.94</v>
      </c>
      <c r="E309" s="541">
        <f>HLOOKUP("start",ESLData!F$1:F$9983,MATCH($A309,ESLData!$B$1:$B$9983,0))</f>
        <v>750</v>
      </c>
      <c r="G309" s="541">
        <f>HLOOKUP("start",ESLData!H$1:H$9983,MATCH($A309,ESLData!$B$1:$B$9983,0))</f>
        <v>694.11</v>
      </c>
    </row>
    <row r="310" spans="1:7" x14ac:dyDescent="0.2">
      <c r="A310" s="540">
        <v>35605</v>
      </c>
      <c r="C310" s="541">
        <f>HLOOKUP("start",ESLData!E$1:E$9983,MATCH($A310,ESLData!$B$1:$B$9983,0))</f>
        <v>5486.06</v>
      </c>
      <c r="E310" s="541">
        <f>HLOOKUP("start",ESLData!F$1:F$9983,MATCH($A310,ESLData!$B$1:$B$9983,0))</f>
        <v>5500</v>
      </c>
      <c r="G310" s="541">
        <f>HLOOKUP("start",ESLData!H$1:H$9983,MATCH($A310,ESLData!$B$1:$B$9983,0))</f>
        <v>3461.92</v>
      </c>
    </row>
    <row r="311" spans="1:7" x14ac:dyDescent="0.2">
      <c r="A311" s="540">
        <v>39001</v>
      </c>
      <c r="C311" s="541">
        <f>HLOOKUP("start",ESLData!E$1:E$9983,MATCH($A311,ESLData!$B$1:$B$9983,0))</f>
        <v>445.44</v>
      </c>
      <c r="E311" s="541">
        <f>HLOOKUP("start",ESLData!F$1:F$9983,MATCH($A311,ESLData!$B$1:$B$9983,0))</f>
        <v>500</v>
      </c>
      <c r="G311" s="541">
        <f>HLOOKUP("start",ESLData!H$1:H$9983,MATCH($A311,ESLData!$B$1:$B$9983,0))</f>
        <v>436.77</v>
      </c>
    </row>
    <row r="312" spans="1:7" x14ac:dyDescent="0.2">
      <c r="A312" s="540">
        <v>39002</v>
      </c>
      <c r="C312" s="541">
        <f>HLOOKUP("start",ESLData!E$1:E$9983,MATCH($A312,ESLData!$B$1:$B$9983,0))</f>
        <v>10142.74</v>
      </c>
      <c r="E312" s="541">
        <f>HLOOKUP("start",ESLData!F$1:F$9983,MATCH($A312,ESLData!$B$1:$B$9983,0))</f>
        <v>11200</v>
      </c>
      <c r="G312" s="541">
        <f>HLOOKUP("start",ESLData!H$1:H$9983,MATCH($A312,ESLData!$B$1:$B$9983,0))</f>
        <v>10267.15</v>
      </c>
    </row>
    <row r="313" spans="1:7" x14ac:dyDescent="0.2">
      <c r="A313" s="540">
        <v>39051</v>
      </c>
      <c r="C313" s="541">
        <f>HLOOKUP("start",ESLData!E$1:E$9983,MATCH($A313,ESLData!$B$1:$B$9983,0))</f>
        <v>1537.09</v>
      </c>
      <c r="E313" s="541">
        <f>HLOOKUP("start",ESLData!F$1:F$9983,MATCH($A313,ESLData!$B$1:$B$9983,0))</f>
        <v>1800</v>
      </c>
      <c r="G313" s="541">
        <f>HLOOKUP("start",ESLData!H$1:H$9983,MATCH($A313,ESLData!$B$1:$B$9983,0))</f>
        <v>1317.8</v>
      </c>
    </row>
    <row r="314" spans="1:7" x14ac:dyDescent="0.2">
      <c r="A314" s="540">
        <v>39052</v>
      </c>
      <c r="C314" s="541">
        <f>HLOOKUP("start",ESLData!E$1:E$9983,MATCH($A314,ESLData!$B$1:$B$9983,0))</f>
        <v>14132.33</v>
      </c>
      <c r="E314" s="541">
        <f>HLOOKUP("start",ESLData!F$1:F$9983,MATCH($A314,ESLData!$B$1:$B$9983,0))</f>
        <v>14700</v>
      </c>
      <c r="G314" s="541">
        <f>HLOOKUP("start",ESLData!H$1:H$9983,MATCH($A314,ESLData!$B$1:$B$9983,0))</f>
        <v>14637.81</v>
      </c>
    </row>
    <row r="315" spans="1:7" x14ac:dyDescent="0.2">
      <c r="A315" s="540">
        <v>39101</v>
      </c>
      <c r="C315" s="541">
        <f>HLOOKUP("start",ESLData!E$1:E$9983,MATCH($A315,ESLData!$B$1:$B$9983,0))</f>
        <v>118.11</v>
      </c>
      <c r="E315" s="541">
        <f>HLOOKUP("start",ESLData!F$1:F$9983,MATCH($A315,ESLData!$B$1:$B$9983,0))</f>
        <v>250</v>
      </c>
      <c r="G315" s="541">
        <f>HLOOKUP("start",ESLData!H$1:H$9983,MATCH($A315,ESLData!$B$1:$B$9983,0))</f>
        <v>221.45</v>
      </c>
    </row>
    <row r="316" spans="1:7" x14ac:dyDescent="0.2">
      <c r="A316" s="540">
        <v>39102</v>
      </c>
      <c r="C316" s="541">
        <f>HLOOKUP("start",ESLData!E$1:E$9983,MATCH($A316,ESLData!$B$1:$B$9983,0))</f>
        <v>7493.53</v>
      </c>
      <c r="E316" s="541">
        <f>HLOOKUP("start",ESLData!F$1:F$9983,MATCH($A316,ESLData!$B$1:$B$9983,0))</f>
        <v>5500</v>
      </c>
      <c r="G316" s="541">
        <f>HLOOKUP("start",ESLData!H$1:H$9983,MATCH($A316,ESLData!$B$1:$B$9983,0))</f>
        <v>4897.1099999999997</v>
      </c>
    </row>
    <row r="317" spans="1:7" x14ac:dyDescent="0.2">
      <c r="A317" s="540">
        <v>39151</v>
      </c>
      <c r="C317" s="541">
        <f>HLOOKUP("start",ESLData!E$1:E$9983,MATCH($A317,ESLData!$B$1:$B$9983,0))</f>
        <v>571.79</v>
      </c>
      <c r="E317" s="541">
        <f>HLOOKUP("start",ESLData!F$1:F$9983,MATCH($A317,ESLData!$B$1:$B$9983,0))</f>
        <v>1000</v>
      </c>
      <c r="G317" s="541">
        <f>HLOOKUP("start",ESLData!H$1:H$9983,MATCH($A317,ESLData!$B$1:$B$9983,0))</f>
        <v>949.74</v>
      </c>
    </row>
    <row r="318" spans="1:7" x14ac:dyDescent="0.2">
      <c r="A318" s="540">
        <v>39152</v>
      </c>
      <c r="C318" s="541">
        <f>HLOOKUP("start",ESLData!E$1:E$9983,MATCH($A318,ESLData!$B$1:$B$9983,0))</f>
        <v>10567.91</v>
      </c>
      <c r="E318" s="541">
        <f>HLOOKUP("start",ESLData!F$1:F$9983,MATCH($A318,ESLData!$B$1:$B$9983,0))</f>
        <v>10500</v>
      </c>
      <c r="G318" s="541">
        <f>HLOOKUP("start",ESLData!H$1:H$9983,MATCH($A318,ESLData!$B$1:$B$9983,0))</f>
        <v>10327.879999999999</v>
      </c>
    </row>
    <row r="319" spans="1:7" x14ac:dyDescent="0.2">
      <c r="A319" s="540">
        <v>39201</v>
      </c>
      <c r="C319" s="541">
        <f>HLOOKUP("start",ESLData!E$1:E$9983,MATCH($A319,ESLData!$B$1:$B$9983,0))</f>
        <v>54.48</v>
      </c>
      <c r="E319" s="541">
        <f>HLOOKUP("start",ESLData!F$1:F$9983,MATCH($A319,ESLData!$B$1:$B$9983,0))</f>
        <v>500</v>
      </c>
      <c r="G319" s="541">
        <f>HLOOKUP("start",ESLData!H$1:H$9983,MATCH($A319,ESLData!$B$1:$B$9983,0))</f>
        <v>627.44000000000005</v>
      </c>
    </row>
    <row r="320" spans="1:7" x14ac:dyDescent="0.2">
      <c r="A320" s="540">
        <v>39202</v>
      </c>
      <c r="C320" s="541">
        <f>HLOOKUP("start",ESLData!E$1:E$9983,MATCH($A320,ESLData!$B$1:$B$9983,0))</f>
        <v>4539.71</v>
      </c>
      <c r="E320" s="541">
        <f>HLOOKUP("start",ESLData!F$1:F$9983,MATCH($A320,ESLData!$B$1:$B$9983,0))</f>
        <v>5500</v>
      </c>
      <c r="G320" s="541">
        <f>HLOOKUP("start",ESLData!H$1:H$9983,MATCH($A320,ESLData!$B$1:$B$9983,0))</f>
        <v>3531.91</v>
      </c>
    </row>
    <row r="321" spans="1:8" x14ac:dyDescent="0.2">
      <c r="A321" s="540">
        <v>39251</v>
      </c>
      <c r="C321" s="541">
        <f>HLOOKUP("start",ESLData!E$1:E$9983,MATCH($A321,ESLData!$B$1:$B$9983,0))</f>
        <v>757.59</v>
      </c>
      <c r="E321" s="541">
        <f>HLOOKUP("start",ESLData!F$1:F$9983,MATCH($A321,ESLData!$B$1:$B$9983,0))</f>
        <v>600</v>
      </c>
      <c r="G321" s="541">
        <f>HLOOKUP("start",ESLData!H$1:H$9983,MATCH($A321,ESLData!$B$1:$B$9983,0))</f>
        <v>555.08000000000004</v>
      </c>
    </row>
    <row r="322" spans="1:8" x14ac:dyDescent="0.2">
      <c r="A322" s="540">
        <v>39252</v>
      </c>
      <c r="C322" s="541">
        <f>HLOOKUP("start",ESLData!E$1:E$9983,MATCH($A322,ESLData!$B$1:$B$9983,0))</f>
        <v>7821.1</v>
      </c>
      <c r="E322" s="541">
        <f>HLOOKUP("start",ESLData!F$1:F$9983,MATCH($A322,ESLData!$B$1:$B$9983,0))</f>
        <v>8000</v>
      </c>
      <c r="G322" s="541">
        <f>HLOOKUP("start",ESLData!H$1:H$9983,MATCH($A322,ESLData!$B$1:$B$9983,0))</f>
        <v>8027.93</v>
      </c>
    </row>
    <row r="323" spans="1:8" x14ac:dyDescent="0.2">
      <c r="A323" s="540">
        <v>39301</v>
      </c>
      <c r="C323" s="541">
        <f>HLOOKUP("start",ESLData!E$1:E$9983,MATCH($A323,ESLData!$B$1:$B$9983,0))</f>
        <v>465.59</v>
      </c>
      <c r="E323" s="541">
        <f>HLOOKUP("start",ESLData!F$1:F$9983,MATCH($A323,ESLData!$B$1:$B$9983,0))</f>
        <v>1100</v>
      </c>
      <c r="G323" s="541">
        <f>HLOOKUP("start",ESLData!H$1:H$9983,MATCH($A323,ESLData!$B$1:$B$9983,0))</f>
        <v>999.96</v>
      </c>
    </row>
    <row r="324" spans="1:8" x14ac:dyDescent="0.2">
      <c r="A324" s="540">
        <v>39302</v>
      </c>
      <c r="C324" s="541">
        <f>HLOOKUP("start",ESLData!E$1:E$9983,MATCH($A324,ESLData!$B$1:$B$9983,0))</f>
        <v>7825.85</v>
      </c>
      <c r="E324" s="541">
        <f>HLOOKUP("start",ESLData!F$1:F$9983,MATCH($A324,ESLData!$B$1:$B$9983,0))</f>
        <v>8700</v>
      </c>
      <c r="G324" s="541">
        <f>HLOOKUP("start",ESLData!H$1:H$9983,MATCH($A324,ESLData!$B$1:$B$9983,0))</f>
        <v>7000.74</v>
      </c>
    </row>
    <row r="325" spans="1:8" x14ac:dyDescent="0.2">
      <c r="A325" s="540">
        <v>39351</v>
      </c>
      <c r="C325" s="541">
        <f>HLOOKUP("start",ESLData!E$1:E$9983,MATCH($A325,ESLData!$B$1:$B$9983,0))</f>
        <v>788.16</v>
      </c>
      <c r="E325" s="541">
        <f>HLOOKUP("start",ESLData!F$1:F$9983,MATCH($A325,ESLData!$B$1:$B$9983,0))</f>
        <v>1000</v>
      </c>
      <c r="G325" s="541">
        <f>HLOOKUP("start",ESLData!H$1:H$9983,MATCH($A325,ESLData!$B$1:$B$9983,0))</f>
        <v>1026.18</v>
      </c>
    </row>
    <row r="326" spans="1:8" x14ac:dyDescent="0.2">
      <c r="A326" s="540">
        <v>39352</v>
      </c>
      <c r="C326" s="541">
        <f>HLOOKUP("start",ESLData!E$1:E$9983,MATCH($A326,ESLData!$B$1:$B$9983,0))</f>
        <v>6910.87</v>
      </c>
      <c r="E326" s="541">
        <f>HLOOKUP("start",ESLData!F$1:F$9983,MATCH($A326,ESLData!$B$1:$B$9983,0))</f>
        <v>6800</v>
      </c>
      <c r="G326" s="541">
        <f>HLOOKUP("start",ESLData!H$1:H$9983,MATCH($A326,ESLData!$B$1:$B$9983,0))</f>
        <v>5690.15</v>
      </c>
    </row>
    <row r="327" spans="1:8" x14ac:dyDescent="0.2">
      <c r="A327" s="540">
        <v>39400</v>
      </c>
      <c r="C327" s="541">
        <f>HLOOKUP("start",ESLData!E$1:E$9983,MATCH($A327,ESLData!$B$1:$B$9983,0))</f>
        <v>514.77</v>
      </c>
      <c r="E327" s="541">
        <f>HLOOKUP("start",ESLData!F$1:F$9983,MATCH($A327,ESLData!$B$1:$B$9983,0))</f>
        <v>600</v>
      </c>
      <c r="G327" s="541">
        <f>HLOOKUP("start",ESLData!H$1:H$9983,MATCH($A327,ESLData!$B$1:$B$9983,0))</f>
        <v>482.23</v>
      </c>
    </row>
    <row r="328" spans="1:8" x14ac:dyDescent="0.2">
      <c r="A328" s="540">
        <v>39405</v>
      </c>
      <c r="C328" s="541">
        <f>HLOOKUP("start",ESLData!E$1:E$9983,MATCH($A328,ESLData!$B$1:$B$9983,0))</f>
        <v>6314.7</v>
      </c>
      <c r="D328" s="542">
        <f>SUM(C295:C328)</f>
        <v>115393.61</v>
      </c>
      <c r="E328" s="541">
        <f>HLOOKUP("start",ESLData!F$1:F$9983,MATCH($A328,ESLData!$B$1:$B$9983,0))</f>
        <v>5500</v>
      </c>
      <c r="F328" s="542">
        <f>SUM(E295:E328)</f>
        <v>123000</v>
      </c>
      <c r="G328" s="541">
        <f>HLOOKUP("start",ESLData!H$1:H$9983,MATCH($A328,ESLData!$B$1:$B$9983,0))</f>
        <v>2899.87</v>
      </c>
      <c r="H328" s="542">
        <f>SUM(G295:G328)</f>
        <v>107104.64</v>
      </c>
    </row>
    <row r="329" spans="1:8" x14ac:dyDescent="0.2">
      <c r="A329" s="538" t="s">
        <v>1025</v>
      </c>
      <c r="C329" s="541"/>
      <c r="E329" s="541"/>
      <c r="G329" s="541"/>
    </row>
    <row r="330" spans="1:8" x14ac:dyDescent="0.2">
      <c r="A330" s="540">
        <v>35115</v>
      </c>
      <c r="C330" s="541">
        <f>HLOOKUP("start",ESLData!E$1:E$9983,MATCH($A330,ESLData!$B$1:$B$9983,0))</f>
        <v>0</v>
      </c>
      <c r="E330" s="541">
        <f>HLOOKUP("start",ESLData!F$1:F$9983,MATCH($A330,ESLData!$B$1:$B$9983,0))</f>
        <v>0</v>
      </c>
      <c r="G330" s="541">
        <f>HLOOKUP("start",ESLData!H$1:H$9983,MATCH($A330,ESLData!$B$1:$B$9983,0))</f>
        <v>0</v>
      </c>
    </row>
    <row r="331" spans="1:8" x14ac:dyDescent="0.2">
      <c r="A331" s="540">
        <v>35120</v>
      </c>
      <c r="C331" s="541">
        <f>HLOOKUP("start",ESLData!E$1:E$9983,MATCH($A331,ESLData!$B$1:$B$9983,0))</f>
        <v>0</v>
      </c>
      <c r="E331" s="541">
        <f>HLOOKUP("start",ESLData!F$1:F$9983,MATCH($A331,ESLData!$B$1:$B$9983,0))</f>
        <v>0</v>
      </c>
      <c r="G331" s="541">
        <f>HLOOKUP("start",ESLData!H$1:H$9983,MATCH($A331,ESLData!$B$1:$B$9983,0))</f>
        <v>0</v>
      </c>
    </row>
    <row r="332" spans="1:8" x14ac:dyDescent="0.2">
      <c r="A332" s="540">
        <v>35258</v>
      </c>
      <c r="C332" s="541">
        <f>HLOOKUP("start",ESLData!E$1:E$9983,MATCH($A332,ESLData!$B$1:$B$9983,0))</f>
        <v>0</v>
      </c>
      <c r="E332" s="541">
        <f>HLOOKUP("start",ESLData!F$1:F$9983,MATCH($A332,ESLData!$B$1:$B$9983,0))</f>
        <v>0</v>
      </c>
      <c r="G332" s="541">
        <f>HLOOKUP("start",ESLData!H$1:H$9983,MATCH($A332,ESLData!$B$1:$B$9983,0))</f>
        <v>0</v>
      </c>
    </row>
    <row r="333" spans="1:8" x14ac:dyDescent="0.2">
      <c r="A333" s="540">
        <v>35260</v>
      </c>
      <c r="C333" s="541">
        <f>HLOOKUP("start",ESLData!E$1:E$9983,MATCH($A333,ESLData!$B$1:$B$9983,0))</f>
        <v>0</v>
      </c>
      <c r="E333" s="541">
        <f>HLOOKUP("start",ESLData!F$1:F$9983,MATCH($A333,ESLData!$B$1:$B$9983,0))</f>
        <v>0</v>
      </c>
      <c r="G333" s="541">
        <f>HLOOKUP("start",ESLData!H$1:H$9983,MATCH($A333,ESLData!$B$1:$B$9983,0))</f>
        <v>0</v>
      </c>
    </row>
    <row r="334" spans="1:8" x14ac:dyDescent="0.2">
      <c r="A334" s="540">
        <v>35310</v>
      </c>
      <c r="C334" s="541">
        <f>HLOOKUP("start",ESLData!E$1:E$9983,MATCH($A334,ESLData!$B$1:$B$9983,0))</f>
        <v>0</v>
      </c>
      <c r="E334" s="541">
        <f>HLOOKUP("start",ESLData!F$1:F$9983,MATCH($A334,ESLData!$B$1:$B$9983,0))</f>
        <v>0</v>
      </c>
      <c r="G334" s="541">
        <f>HLOOKUP("start",ESLData!H$1:H$9983,MATCH($A334,ESLData!$B$1:$B$9983,0))</f>
        <v>0</v>
      </c>
    </row>
    <row r="335" spans="1:8" x14ac:dyDescent="0.2">
      <c r="A335" s="540">
        <v>35315</v>
      </c>
      <c r="C335" s="541">
        <f>HLOOKUP("start",ESLData!E$1:E$9983,MATCH($A335,ESLData!$B$1:$B$9983,0))</f>
        <v>28.5</v>
      </c>
      <c r="E335" s="541">
        <f>HLOOKUP("start",ESLData!F$1:F$9983,MATCH($A335,ESLData!$B$1:$B$9983,0))</f>
        <v>0</v>
      </c>
      <c r="G335" s="541">
        <f>HLOOKUP("start",ESLData!H$1:H$9983,MATCH($A335,ESLData!$B$1:$B$9983,0))</f>
        <v>80</v>
      </c>
    </row>
    <row r="336" spans="1:8" x14ac:dyDescent="0.2">
      <c r="A336" s="540">
        <v>35610</v>
      </c>
      <c r="C336" s="541">
        <f>HLOOKUP("start",ESLData!E$1:E$9983,MATCH($A336,ESLData!$B$1:$B$9983,0))</f>
        <v>0</v>
      </c>
      <c r="E336" s="541">
        <f>HLOOKUP("start",ESLData!F$1:F$9983,MATCH($A336,ESLData!$B$1:$B$9983,0))</f>
        <v>0</v>
      </c>
      <c r="G336" s="541">
        <f>HLOOKUP("start",ESLData!H$1:H$9983,MATCH($A336,ESLData!$B$1:$B$9983,0))</f>
        <v>0</v>
      </c>
    </row>
    <row r="337" spans="1:7" x14ac:dyDescent="0.2">
      <c r="A337" s="540">
        <v>35615</v>
      </c>
      <c r="C337" s="541">
        <f>HLOOKUP("start",ESLData!E$1:E$9983,MATCH($A337,ESLData!$B$1:$B$9983,0))</f>
        <v>0</v>
      </c>
      <c r="E337" s="541">
        <f>HLOOKUP("start",ESLData!F$1:F$9983,MATCH($A337,ESLData!$B$1:$B$9983,0))</f>
        <v>0</v>
      </c>
      <c r="G337" s="541">
        <f>HLOOKUP("start",ESLData!H$1:H$9983,MATCH($A337,ESLData!$B$1:$B$9983,0))</f>
        <v>0</v>
      </c>
    </row>
    <row r="338" spans="1:7" x14ac:dyDescent="0.2">
      <c r="A338" s="540">
        <v>39003</v>
      </c>
      <c r="C338" s="541">
        <f>HLOOKUP("start",ESLData!E$1:E$9983,MATCH($A338,ESLData!$B$1:$B$9983,0))</f>
        <v>0</v>
      </c>
      <c r="E338" s="541">
        <f>HLOOKUP("start",ESLData!F$1:F$9983,MATCH($A338,ESLData!$B$1:$B$9983,0))</f>
        <v>0</v>
      </c>
      <c r="G338" s="541">
        <f>HLOOKUP("start",ESLData!H$1:H$9983,MATCH($A338,ESLData!$B$1:$B$9983,0))</f>
        <v>0</v>
      </c>
    </row>
    <row r="339" spans="1:7" x14ac:dyDescent="0.2">
      <c r="A339" s="540">
        <v>39004</v>
      </c>
      <c r="C339" s="541">
        <f>HLOOKUP("start",ESLData!E$1:E$9983,MATCH($A339,ESLData!$B$1:$B$9983,0))</f>
        <v>280.32</v>
      </c>
      <c r="E339" s="541">
        <f>HLOOKUP("start",ESLData!F$1:F$9983,MATCH($A339,ESLData!$B$1:$B$9983,0))</f>
        <v>0</v>
      </c>
      <c r="G339" s="541">
        <f>HLOOKUP("start",ESLData!H$1:H$9983,MATCH($A339,ESLData!$B$1:$B$9983,0))</f>
        <v>34.78</v>
      </c>
    </row>
    <row r="340" spans="1:7" x14ac:dyDescent="0.2">
      <c r="A340" s="540">
        <v>39053</v>
      </c>
      <c r="C340" s="541">
        <f>HLOOKUP("start",ESLData!E$1:E$9983,MATCH($A340,ESLData!$B$1:$B$9983,0))</f>
        <v>0</v>
      </c>
      <c r="E340" s="541">
        <f>HLOOKUP("start",ESLData!F$1:F$9983,MATCH($A340,ESLData!$B$1:$B$9983,0))</f>
        <v>0</v>
      </c>
      <c r="G340" s="541">
        <f>HLOOKUP("start",ESLData!H$1:H$9983,MATCH($A340,ESLData!$B$1:$B$9983,0))</f>
        <v>0</v>
      </c>
    </row>
    <row r="341" spans="1:7" x14ac:dyDescent="0.2">
      <c r="A341" s="540">
        <v>39054</v>
      </c>
      <c r="C341" s="541">
        <f>HLOOKUP("start",ESLData!E$1:E$9983,MATCH($A341,ESLData!$B$1:$B$9983,0))</f>
        <v>160.87</v>
      </c>
      <c r="E341" s="541">
        <f>HLOOKUP("start",ESLData!F$1:F$9983,MATCH($A341,ESLData!$B$1:$B$9983,0))</f>
        <v>0</v>
      </c>
      <c r="G341" s="541">
        <f>HLOOKUP("start",ESLData!H$1:H$9983,MATCH($A341,ESLData!$B$1:$B$9983,0))</f>
        <v>0</v>
      </c>
    </row>
    <row r="342" spans="1:7" x14ac:dyDescent="0.2">
      <c r="A342" s="540">
        <v>39103</v>
      </c>
      <c r="C342" s="541">
        <f>HLOOKUP("start",ESLData!E$1:E$9983,MATCH($A342,ESLData!$B$1:$B$9983,0))</f>
        <v>0</v>
      </c>
      <c r="E342" s="541">
        <f>HLOOKUP("start",ESLData!F$1:F$9983,MATCH($A342,ESLData!$B$1:$B$9983,0))</f>
        <v>0</v>
      </c>
      <c r="G342" s="541">
        <f>HLOOKUP("start",ESLData!H$1:H$9983,MATCH($A342,ESLData!$B$1:$B$9983,0))</f>
        <v>0</v>
      </c>
    </row>
    <row r="343" spans="1:7" x14ac:dyDescent="0.2">
      <c r="A343" s="540">
        <v>39104</v>
      </c>
      <c r="C343" s="541">
        <f>HLOOKUP("start",ESLData!E$1:E$9983,MATCH($A343,ESLData!$B$1:$B$9983,0))</f>
        <v>1337.14</v>
      </c>
      <c r="E343" s="541">
        <f>HLOOKUP("start",ESLData!F$1:F$9983,MATCH($A343,ESLData!$B$1:$B$9983,0))</f>
        <v>1800</v>
      </c>
      <c r="G343" s="541">
        <f>HLOOKUP("start",ESLData!H$1:H$9983,MATCH($A343,ESLData!$B$1:$B$9983,0))</f>
        <v>1578.28</v>
      </c>
    </row>
    <row r="344" spans="1:7" x14ac:dyDescent="0.2">
      <c r="A344" s="540">
        <v>39153</v>
      </c>
      <c r="C344" s="541">
        <f>HLOOKUP("start",ESLData!E$1:E$9983,MATCH($A344,ESLData!$B$1:$B$9983,0))</f>
        <v>0</v>
      </c>
      <c r="E344" s="541">
        <f>HLOOKUP("start",ESLData!F$1:F$9983,MATCH($A344,ESLData!$B$1:$B$9983,0))</f>
        <v>0</v>
      </c>
      <c r="G344" s="541">
        <f>HLOOKUP("start",ESLData!H$1:H$9983,MATCH($A344,ESLData!$B$1:$B$9983,0))</f>
        <v>0</v>
      </c>
    </row>
    <row r="345" spans="1:7" x14ac:dyDescent="0.2">
      <c r="A345" s="540">
        <v>39154</v>
      </c>
      <c r="C345" s="541">
        <f>HLOOKUP("start",ESLData!E$1:E$9983,MATCH($A345,ESLData!$B$1:$B$9983,0))</f>
        <v>0</v>
      </c>
      <c r="E345" s="541">
        <f>HLOOKUP("start",ESLData!F$1:F$9983,MATCH($A345,ESLData!$B$1:$B$9983,0))</f>
        <v>0</v>
      </c>
      <c r="G345" s="541">
        <f>HLOOKUP("start",ESLData!H$1:H$9983,MATCH($A345,ESLData!$B$1:$B$9983,0))</f>
        <v>0</v>
      </c>
    </row>
    <row r="346" spans="1:7" x14ac:dyDescent="0.2">
      <c r="A346" s="540">
        <v>39203</v>
      </c>
      <c r="C346" s="541">
        <f>HLOOKUP("start",ESLData!E$1:E$9983,MATCH($A346,ESLData!$B$1:$B$9983,0))</f>
        <v>275.89</v>
      </c>
      <c r="E346" s="541">
        <f>HLOOKUP("start",ESLData!F$1:F$9983,MATCH($A346,ESLData!$B$1:$B$9983,0))</f>
        <v>872</v>
      </c>
      <c r="G346" s="541">
        <f>HLOOKUP("start",ESLData!H$1:H$9983,MATCH($A346,ESLData!$B$1:$B$9983,0))</f>
        <v>-162.57</v>
      </c>
    </row>
    <row r="347" spans="1:7" x14ac:dyDescent="0.2">
      <c r="A347" s="540">
        <v>39204</v>
      </c>
      <c r="C347" s="541">
        <f>HLOOKUP("start",ESLData!E$1:E$9983,MATCH($A347,ESLData!$B$1:$B$9983,0))</f>
        <v>59.57</v>
      </c>
      <c r="E347" s="541">
        <f>HLOOKUP("start",ESLData!F$1:F$9983,MATCH($A347,ESLData!$B$1:$B$9983,0))</f>
        <v>1000</v>
      </c>
      <c r="G347" s="541">
        <f>HLOOKUP("start",ESLData!H$1:H$9983,MATCH($A347,ESLData!$B$1:$B$9983,0))</f>
        <v>946.03</v>
      </c>
    </row>
    <row r="348" spans="1:7" x14ac:dyDescent="0.2">
      <c r="A348" s="540">
        <v>39253</v>
      </c>
      <c r="C348" s="541">
        <f>HLOOKUP("start",ESLData!E$1:E$9983,MATCH($A348,ESLData!$B$1:$B$9983,0))</f>
        <v>0</v>
      </c>
      <c r="E348" s="541">
        <f>HLOOKUP("start",ESLData!F$1:F$9983,MATCH($A348,ESLData!$B$1:$B$9983,0))</f>
        <v>0</v>
      </c>
      <c r="G348" s="541">
        <f>HLOOKUP("start",ESLData!H$1:H$9983,MATCH($A348,ESLData!$B$1:$B$9983,0))</f>
        <v>0</v>
      </c>
    </row>
    <row r="349" spans="1:7" x14ac:dyDescent="0.2">
      <c r="A349" s="540">
        <v>39254</v>
      </c>
      <c r="C349" s="541">
        <f>HLOOKUP("start",ESLData!E$1:E$9983,MATCH($A349,ESLData!$B$1:$B$9983,0))</f>
        <v>0</v>
      </c>
      <c r="E349" s="541">
        <f>HLOOKUP("start",ESLData!F$1:F$9983,MATCH($A349,ESLData!$B$1:$B$9983,0))</f>
        <v>0</v>
      </c>
      <c r="G349" s="541">
        <f>HLOOKUP("start",ESLData!H$1:H$9983,MATCH($A349,ESLData!$B$1:$B$9983,0))</f>
        <v>0</v>
      </c>
    </row>
    <row r="350" spans="1:7" x14ac:dyDescent="0.2">
      <c r="A350" s="540">
        <v>39303</v>
      </c>
      <c r="C350" s="541">
        <f>HLOOKUP("start",ESLData!E$1:E$9983,MATCH($A350,ESLData!$B$1:$B$9983,0))</f>
        <v>0</v>
      </c>
      <c r="E350" s="541">
        <f>HLOOKUP("start",ESLData!F$1:F$9983,MATCH($A350,ESLData!$B$1:$B$9983,0))</f>
        <v>0</v>
      </c>
      <c r="G350" s="541">
        <f>HLOOKUP("start",ESLData!H$1:H$9983,MATCH($A350,ESLData!$B$1:$B$9983,0))</f>
        <v>0</v>
      </c>
    </row>
    <row r="351" spans="1:7" x14ac:dyDescent="0.2">
      <c r="A351" s="540">
        <v>39304</v>
      </c>
      <c r="C351" s="541">
        <f>HLOOKUP("start",ESLData!E$1:E$9983,MATCH($A351,ESLData!$B$1:$B$9983,0))</f>
        <v>0</v>
      </c>
      <c r="E351" s="541">
        <f>HLOOKUP("start",ESLData!F$1:F$9983,MATCH($A351,ESLData!$B$1:$B$9983,0))</f>
        <v>0</v>
      </c>
      <c r="G351" s="541">
        <f>HLOOKUP("start",ESLData!H$1:H$9983,MATCH($A351,ESLData!$B$1:$B$9983,0))</f>
        <v>0</v>
      </c>
    </row>
    <row r="352" spans="1:7" x14ac:dyDescent="0.2">
      <c r="A352" s="540">
        <v>39353</v>
      </c>
      <c r="C352" s="541">
        <f>HLOOKUP("start",ESLData!E$1:E$9983,MATCH($A352,ESLData!$B$1:$B$9983,0))</f>
        <v>0</v>
      </c>
      <c r="E352" s="541">
        <f>HLOOKUP("start",ESLData!F$1:F$9983,MATCH($A352,ESLData!$B$1:$B$9983,0))</f>
        <v>0</v>
      </c>
      <c r="G352" s="541">
        <f>HLOOKUP("start",ESLData!H$1:H$9983,MATCH($A352,ESLData!$B$1:$B$9983,0))</f>
        <v>0</v>
      </c>
    </row>
    <row r="353" spans="1:8" x14ac:dyDescent="0.2">
      <c r="A353" s="540">
        <v>39354</v>
      </c>
      <c r="C353" s="541">
        <f>HLOOKUP("start",ESLData!E$1:E$9983,MATCH($A353,ESLData!$B$1:$B$9983,0))</f>
        <v>0</v>
      </c>
      <c r="E353" s="541">
        <f>HLOOKUP("start",ESLData!F$1:F$9983,MATCH($A353,ESLData!$B$1:$B$9983,0))</f>
        <v>0</v>
      </c>
      <c r="G353" s="541">
        <f>HLOOKUP("start",ESLData!H$1:H$9983,MATCH($A353,ESLData!$B$1:$B$9983,0))</f>
        <v>0</v>
      </c>
    </row>
    <row r="354" spans="1:8" x14ac:dyDescent="0.2">
      <c r="A354" s="540">
        <v>39410</v>
      </c>
      <c r="C354" s="541">
        <f>HLOOKUP("start",ESLData!E$1:E$9983,MATCH($A354,ESLData!$B$1:$B$9983,0))</f>
        <v>0</v>
      </c>
      <c r="E354" s="541">
        <f>HLOOKUP("start",ESLData!F$1:F$9983,MATCH($A354,ESLData!$B$1:$B$9983,0))</f>
        <v>0</v>
      </c>
      <c r="G354" s="541">
        <f>HLOOKUP("start",ESLData!H$1:H$9983,MATCH($A354,ESLData!$B$1:$B$9983,0))</f>
        <v>0</v>
      </c>
    </row>
    <row r="355" spans="1:8" x14ac:dyDescent="0.2">
      <c r="A355" s="540">
        <v>39415</v>
      </c>
      <c r="C355" s="541">
        <f>HLOOKUP("start",ESLData!E$1:E$9983,MATCH($A355,ESLData!$B$1:$B$9983,0))</f>
        <v>0</v>
      </c>
      <c r="D355" s="542">
        <f>SUM(C330:C355)</f>
        <v>2142.2900000000004</v>
      </c>
      <c r="E355" s="541">
        <f>HLOOKUP("start",ESLData!F$1:F$9983,MATCH($A355,ESLData!$B$1:$B$9983,0))</f>
        <v>0</v>
      </c>
      <c r="F355" s="542">
        <f>SUM(E330:E355)</f>
        <v>3672</v>
      </c>
      <c r="G355" s="541">
        <f>HLOOKUP("start",ESLData!H$1:H$9983,MATCH($A355,ESLData!$B$1:$B$9983,0))</f>
        <v>132.52000000000001</v>
      </c>
      <c r="H355" s="542">
        <f>SUM(G330:G355)</f>
        <v>2609.04</v>
      </c>
    </row>
    <row r="356" spans="1:8" x14ac:dyDescent="0.2">
      <c r="A356" s="538" t="s">
        <v>828</v>
      </c>
      <c r="C356" s="541"/>
      <c r="E356" s="541"/>
      <c r="G356" s="541"/>
    </row>
    <row r="357" spans="1:8" x14ac:dyDescent="0.2">
      <c r="A357" s="540">
        <v>35145</v>
      </c>
      <c r="C357" s="541">
        <f>HLOOKUP("start",ESLData!E$1:E$9983,MATCH($A357,ESLData!$B$1:$B$9983,0))</f>
        <v>7503.1</v>
      </c>
      <c r="E357" s="541">
        <f>HLOOKUP("start",ESLData!F$1:F$9983,MATCH($A357,ESLData!$B$1:$B$9983,0))</f>
        <v>8000</v>
      </c>
      <c r="G357" s="541">
        <f>HLOOKUP("start",ESLData!H$1:H$9983,MATCH($A357,ESLData!$B$1:$B$9983,0))</f>
        <v>7619.83</v>
      </c>
    </row>
    <row r="358" spans="1:8" x14ac:dyDescent="0.2">
      <c r="A358" s="540">
        <v>35273</v>
      </c>
      <c r="C358" s="541">
        <f>HLOOKUP("start",ESLData!E$1:E$9983,MATCH($A358,ESLData!$B$1:$B$9983,0))</f>
        <v>0</v>
      </c>
      <c r="E358" s="541">
        <f>HLOOKUP("start",ESLData!F$1:F$9983,MATCH($A358,ESLData!$B$1:$B$9983,0))</f>
        <v>0</v>
      </c>
      <c r="G358" s="541">
        <f>HLOOKUP("start",ESLData!H$1:H$9983,MATCH($A358,ESLData!$B$1:$B$9983,0))</f>
        <v>0</v>
      </c>
    </row>
    <row r="359" spans="1:8" x14ac:dyDescent="0.2">
      <c r="A359" s="540">
        <v>62350</v>
      </c>
      <c r="C359" s="541">
        <f>HLOOKUP("start",ESLData!E$1:E$9983,MATCH($A359,ESLData!$B$1:$B$9983,0))</f>
        <v>5822.9</v>
      </c>
      <c r="E359" s="541">
        <f>HLOOKUP("start",ESLData!F$1:F$9983,MATCH($A359,ESLData!$B$1:$B$9983,0))</f>
        <v>5800</v>
      </c>
      <c r="G359" s="541">
        <f>HLOOKUP("start",ESLData!H$1:H$9983,MATCH($A359,ESLData!$B$1:$B$9983,0))</f>
        <v>5831.63</v>
      </c>
    </row>
    <row r="360" spans="1:8" x14ac:dyDescent="0.2">
      <c r="A360" s="540">
        <v>63350</v>
      </c>
      <c r="C360" s="541">
        <f>HLOOKUP("start",ESLData!E$1:E$9983,MATCH($A360,ESLData!$B$1:$B$9983,0))</f>
        <v>3796.58</v>
      </c>
      <c r="E360" s="541">
        <f>HLOOKUP("start",ESLData!F$1:F$9983,MATCH($A360,ESLData!$B$1:$B$9983,0))</f>
        <v>3000</v>
      </c>
      <c r="G360" s="541">
        <f>HLOOKUP("start",ESLData!H$1:H$9983,MATCH($A360,ESLData!$B$1:$B$9983,0))</f>
        <v>4032.49</v>
      </c>
    </row>
    <row r="361" spans="1:8" x14ac:dyDescent="0.2">
      <c r="A361" s="540">
        <v>35340</v>
      </c>
      <c r="C361" s="541">
        <f>HLOOKUP("start",ESLData!E$1:E$9983,MATCH($A361,ESLData!$B$1:$B$9983,0))</f>
        <v>3252.12</v>
      </c>
      <c r="E361" s="541">
        <f>HLOOKUP("start",ESLData!F$1:F$9983,MATCH($A361,ESLData!$B$1:$B$9983,0))</f>
        <v>3000</v>
      </c>
      <c r="G361" s="541">
        <f>HLOOKUP("start",ESLData!H$1:H$9983,MATCH($A361,ESLData!$B$1:$B$9983,0))</f>
        <v>2189.59</v>
      </c>
    </row>
    <row r="362" spans="1:8" x14ac:dyDescent="0.2">
      <c r="A362" s="540">
        <v>35635</v>
      </c>
      <c r="C362" s="541">
        <f>HLOOKUP("start",ESLData!E$1:E$9983,MATCH($A362,ESLData!$B$1:$B$9983,0))</f>
        <v>2279.0100000000002</v>
      </c>
      <c r="E362" s="541">
        <f>HLOOKUP("start",ESLData!F$1:F$9983,MATCH($A362,ESLData!$B$1:$B$9983,0))</f>
        <v>3000</v>
      </c>
      <c r="G362" s="541">
        <f>HLOOKUP("start",ESLData!H$1:H$9983,MATCH($A362,ESLData!$B$1:$B$9983,0))</f>
        <v>1892.43</v>
      </c>
    </row>
    <row r="363" spans="1:8" x14ac:dyDescent="0.2">
      <c r="A363" s="540">
        <v>39009</v>
      </c>
      <c r="C363" s="541">
        <f>HLOOKUP("start",ESLData!E$1:E$9983,MATCH($A363,ESLData!$B$1:$B$9983,0))</f>
        <v>2820.45</v>
      </c>
      <c r="E363" s="541">
        <f>HLOOKUP("start",ESLData!F$1:F$9983,MATCH($A363,ESLData!$B$1:$B$9983,0))</f>
        <v>3000</v>
      </c>
      <c r="G363" s="541">
        <f>HLOOKUP("start",ESLData!H$1:H$9983,MATCH($A363,ESLData!$B$1:$B$9983,0))</f>
        <v>3683.31</v>
      </c>
    </row>
    <row r="364" spans="1:8" x14ac:dyDescent="0.2">
      <c r="A364" s="540">
        <v>39059</v>
      </c>
      <c r="C364" s="541">
        <f>HLOOKUP("start",ESLData!E$1:E$9983,MATCH($A364,ESLData!$B$1:$B$9983,0))</f>
        <v>3997.3</v>
      </c>
      <c r="E364" s="541">
        <f>HLOOKUP("start",ESLData!F$1:F$9983,MATCH($A364,ESLData!$B$1:$B$9983,0))</f>
        <v>3000</v>
      </c>
      <c r="G364" s="541">
        <f>HLOOKUP("start",ESLData!H$1:H$9983,MATCH($A364,ESLData!$B$1:$B$9983,0))</f>
        <v>2711.58</v>
      </c>
    </row>
    <row r="365" spans="1:8" x14ac:dyDescent="0.2">
      <c r="A365" s="540">
        <v>39109</v>
      </c>
      <c r="C365" s="541">
        <f>HLOOKUP("start",ESLData!E$1:E$9983,MATCH($A365,ESLData!$B$1:$B$9983,0))</f>
        <v>3219.56</v>
      </c>
      <c r="E365" s="541">
        <f>HLOOKUP("start",ESLData!F$1:F$9983,MATCH($A365,ESLData!$B$1:$B$9983,0))</f>
        <v>4500</v>
      </c>
      <c r="G365" s="541">
        <f>HLOOKUP("start",ESLData!H$1:H$9983,MATCH($A365,ESLData!$B$1:$B$9983,0))</f>
        <v>4139.0600000000004</v>
      </c>
    </row>
    <row r="366" spans="1:8" x14ac:dyDescent="0.2">
      <c r="A366" s="540">
        <v>39159</v>
      </c>
      <c r="C366" s="541">
        <f>HLOOKUP("start",ESLData!E$1:E$9983,MATCH($A366,ESLData!$B$1:$B$9983,0))</f>
        <v>3216.13</v>
      </c>
      <c r="E366" s="541">
        <f>HLOOKUP("start",ESLData!F$1:F$9983,MATCH($A366,ESLData!$B$1:$B$9983,0))</f>
        <v>4000</v>
      </c>
      <c r="G366" s="541">
        <f>HLOOKUP("start",ESLData!H$1:H$9983,MATCH($A366,ESLData!$B$1:$B$9983,0))</f>
        <v>2663.33</v>
      </c>
    </row>
    <row r="367" spans="1:8" x14ac:dyDescent="0.2">
      <c r="A367" s="540">
        <v>39209</v>
      </c>
      <c r="C367" s="541">
        <f>HLOOKUP("start",ESLData!E$1:E$9983,MATCH($A367,ESLData!$B$1:$B$9983,0))</f>
        <v>3476.78</v>
      </c>
      <c r="E367" s="541">
        <f>HLOOKUP("start",ESLData!F$1:F$9983,MATCH($A367,ESLData!$B$1:$B$9983,0))</f>
        <v>2500</v>
      </c>
      <c r="G367" s="541">
        <f>HLOOKUP("start",ESLData!H$1:H$9983,MATCH($A367,ESLData!$B$1:$B$9983,0))</f>
        <v>3622.87</v>
      </c>
    </row>
    <row r="368" spans="1:8" x14ac:dyDescent="0.2">
      <c r="A368" s="540">
        <v>39259</v>
      </c>
      <c r="C368" s="541">
        <f>HLOOKUP("start",ESLData!E$1:E$9983,MATCH($A368,ESLData!$B$1:$B$9983,0))</f>
        <v>4155.6000000000004</v>
      </c>
      <c r="E368" s="541">
        <f>HLOOKUP("start",ESLData!F$1:F$9983,MATCH($A368,ESLData!$B$1:$B$9983,0))</f>
        <v>3000</v>
      </c>
      <c r="G368" s="541">
        <f>HLOOKUP("start",ESLData!H$1:H$9983,MATCH($A368,ESLData!$B$1:$B$9983,0))</f>
        <v>2852.68</v>
      </c>
    </row>
    <row r="369" spans="1:8" x14ac:dyDescent="0.2">
      <c r="A369" s="540">
        <v>39309</v>
      </c>
      <c r="C369" s="541">
        <f>HLOOKUP("start",ESLData!E$1:E$9983,MATCH($A369,ESLData!$B$1:$B$9983,0))</f>
        <v>6873.95</v>
      </c>
      <c r="E369" s="541">
        <f>HLOOKUP("start",ESLData!F$1:F$9983,MATCH($A369,ESLData!$B$1:$B$9983,0))</f>
        <v>7000</v>
      </c>
      <c r="G369" s="541">
        <f>HLOOKUP("start",ESLData!H$1:H$9983,MATCH($A369,ESLData!$B$1:$B$9983,0))</f>
        <v>6886.67</v>
      </c>
    </row>
    <row r="370" spans="1:8" x14ac:dyDescent="0.2">
      <c r="A370" s="540">
        <v>39359</v>
      </c>
      <c r="C370" s="541">
        <f>HLOOKUP("start",ESLData!E$1:E$9983,MATCH($A370,ESLData!$B$1:$B$9983,0))</f>
        <v>2811.17</v>
      </c>
      <c r="E370" s="541">
        <f>HLOOKUP("start",ESLData!F$1:F$9983,MATCH($A370,ESLData!$B$1:$B$9983,0))</f>
        <v>3000</v>
      </c>
      <c r="G370" s="541">
        <f>HLOOKUP("start",ESLData!H$1:H$9983,MATCH($A370,ESLData!$B$1:$B$9983,0))</f>
        <v>4097.68</v>
      </c>
    </row>
    <row r="371" spans="1:8" x14ac:dyDescent="0.2">
      <c r="A371" s="540">
        <v>39435</v>
      </c>
      <c r="C371" s="541">
        <f>HLOOKUP("start",ESLData!E$1:E$9983,MATCH($A371,ESLData!$B$1:$B$9983,0))</f>
        <v>1189.25</v>
      </c>
      <c r="D371" s="542">
        <f>SUM(C357:C371)</f>
        <v>54413.899999999994</v>
      </c>
      <c r="E371" s="541">
        <f>HLOOKUP("start",ESLData!F$1:F$9983,MATCH($A371,ESLData!$B$1:$B$9983,0))</f>
        <v>1000</v>
      </c>
      <c r="F371" s="542">
        <f>SUM(E357:E371)</f>
        <v>53800</v>
      </c>
      <c r="G371" s="541">
        <f>HLOOKUP("start",ESLData!H$1:H$9983,MATCH($A371,ESLData!$B$1:$B$9983,0))</f>
        <v>838.04</v>
      </c>
      <c r="H371" s="542">
        <f>SUM(G357:G371)</f>
        <v>53061.19</v>
      </c>
    </row>
    <row r="372" spans="1:8" x14ac:dyDescent="0.2">
      <c r="A372" s="538" t="s">
        <v>902</v>
      </c>
      <c r="C372" s="541"/>
      <c r="E372" s="541"/>
      <c r="G372" s="541"/>
    </row>
    <row r="373" spans="1:8" x14ac:dyDescent="0.2">
      <c r="A373" s="540">
        <v>35130</v>
      </c>
      <c r="C373" s="541">
        <f>HLOOKUP("start",ESLData!E$1:E$9983,MATCH($A373,ESLData!$B$1:$B$9983,0))</f>
        <v>593.1</v>
      </c>
      <c r="E373" s="541">
        <f>HLOOKUP("start",ESLData!F$1:F$9983,MATCH($A373,ESLData!$B$1:$B$9983,0))</f>
        <v>1000</v>
      </c>
      <c r="G373" s="541">
        <f>HLOOKUP("start",ESLData!H$1:H$9983,MATCH($A373,ESLData!$B$1:$B$9983,0))</f>
        <v>-595.41999999999996</v>
      </c>
    </row>
    <row r="374" spans="1:8" x14ac:dyDescent="0.2">
      <c r="A374" s="540">
        <v>35135</v>
      </c>
      <c r="C374" s="541">
        <f>HLOOKUP("start",ESLData!E$1:E$9983,MATCH($A374,ESLData!$B$1:$B$9983,0))</f>
        <v>1005.58</v>
      </c>
      <c r="E374" s="541">
        <f>HLOOKUP("start",ESLData!F$1:F$9983,MATCH($A374,ESLData!$B$1:$B$9983,0))</f>
        <v>2600</v>
      </c>
      <c r="G374" s="541">
        <f>HLOOKUP("start",ESLData!H$1:H$9983,MATCH($A374,ESLData!$B$1:$B$9983,0))</f>
        <v>3511.79</v>
      </c>
    </row>
    <row r="375" spans="1:8" x14ac:dyDescent="0.2">
      <c r="A375" s="540">
        <v>35140</v>
      </c>
      <c r="C375" s="541">
        <f>HLOOKUP("start",ESLData!E$1:E$9983,MATCH($A375,ESLData!$B$1:$B$9983,0))</f>
        <v>2569.12</v>
      </c>
      <c r="E375" s="541">
        <f>HLOOKUP("start",ESLData!F$1:F$9983,MATCH($A375,ESLData!$B$1:$B$9983,0))</f>
        <v>4000</v>
      </c>
      <c r="G375" s="541">
        <f>HLOOKUP("start",ESLData!H$1:H$9983,MATCH($A375,ESLData!$B$1:$B$9983,0))</f>
        <v>4109.75</v>
      </c>
    </row>
    <row r="376" spans="1:8" x14ac:dyDescent="0.2">
      <c r="A376" s="540">
        <v>35150</v>
      </c>
      <c r="C376" s="541">
        <f>HLOOKUP("start",ESLData!E$1:E$9983,MATCH($A376,ESLData!$B$1:$B$9983,0))</f>
        <v>198.16</v>
      </c>
      <c r="E376" s="541">
        <f>HLOOKUP("start",ESLData!F$1:F$9983,MATCH($A376,ESLData!$B$1:$B$9983,0))</f>
        <v>200</v>
      </c>
      <c r="G376" s="541">
        <f>HLOOKUP("start",ESLData!H$1:H$9983,MATCH($A376,ESLData!$B$1:$B$9983,0))</f>
        <v>92.63</v>
      </c>
    </row>
    <row r="377" spans="1:8" x14ac:dyDescent="0.2">
      <c r="A377" s="540">
        <v>35155</v>
      </c>
      <c r="C377" s="541">
        <f>HLOOKUP("start",ESLData!E$1:E$9983,MATCH($A377,ESLData!$B$1:$B$9983,0))</f>
        <v>0</v>
      </c>
      <c r="E377" s="541">
        <f>HLOOKUP("start",ESLData!F$1:F$9983,MATCH($A377,ESLData!$B$1:$B$9983,0))</f>
        <v>300</v>
      </c>
      <c r="G377" s="541">
        <f>HLOOKUP("start",ESLData!H$1:H$9983,MATCH($A377,ESLData!$B$1:$B$9983,0))</f>
        <v>13.04</v>
      </c>
    </row>
    <row r="378" spans="1:8" x14ac:dyDescent="0.2">
      <c r="A378" s="540">
        <v>35156</v>
      </c>
      <c r="C378" s="541">
        <f>HLOOKUP("start",ESLData!E$1:E$9983,MATCH($A378,ESLData!$B$1:$B$9983,0))</f>
        <v>0</v>
      </c>
      <c r="E378" s="541">
        <f>HLOOKUP("start",ESLData!F$1:F$9983,MATCH($A378,ESLData!$B$1:$B$9983,0))</f>
        <v>0</v>
      </c>
      <c r="G378" s="541">
        <f>HLOOKUP("start",ESLData!H$1:H$9983,MATCH($A378,ESLData!$B$1:$B$9983,0))</f>
        <v>0</v>
      </c>
    </row>
    <row r="379" spans="1:8" x14ac:dyDescent="0.2">
      <c r="A379" s="540">
        <v>35170</v>
      </c>
      <c r="C379" s="541">
        <f>HLOOKUP("start",ESLData!E$1:E$9983,MATCH($A379,ESLData!$B$1:$B$9983,0))</f>
        <v>0</v>
      </c>
      <c r="E379" s="541">
        <f>HLOOKUP("start",ESLData!F$1:F$9983,MATCH($A379,ESLData!$B$1:$B$9983,0))</f>
        <v>0</v>
      </c>
      <c r="G379" s="541">
        <f>HLOOKUP("start",ESLData!H$1:H$9983,MATCH($A379,ESLData!$B$1:$B$9983,0))</f>
        <v>0</v>
      </c>
    </row>
    <row r="380" spans="1:8" x14ac:dyDescent="0.2">
      <c r="A380" s="540">
        <v>35176</v>
      </c>
      <c r="C380" s="541">
        <f>HLOOKUP("start",ESLData!E$1:E$9983,MATCH($A380,ESLData!$B$1:$B$9983,0))</f>
        <v>2897.31</v>
      </c>
      <c r="E380" s="541">
        <f>HLOOKUP("start",ESLData!F$1:F$9983,MATCH($A380,ESLData!$B$1:$B$9983,0))</f>
        <v>2000</v>
      </c>
      <c r="G380" s="541">
        <f>HLOOKUP("start",ESLData!H$1:H$9983,MATCH($A380,ESLData!$B$1:$B$9983,0))</f>
        <v>300.08999999999997</v>
      </c>
    </row>
    <row r="381" spans="1:8" x14ac:dyDescent="0.2">
      <c r="A381" s="540">
        <v>35179</v>
      </c>
      <c r="C381" s="541">
        <f>HLOOKUP("start",ESLData!E$1:E$9983,MATCH($A381,ESLData!$B$1:$B$9983,0))</f>
        <v>0</v>
      </c>
      <c r="E381" s="541">
        <f>HLOOKUP("start",ESLData!F$1:F$9983,MATCH($A381,ESLData!$B$1:$B$9983,0))</f>
        <v>0</v>
      </c>
      <c r="G381" s="541">
        <f>HLOOKUP("start",ESLData!H$1:H$9983,MATCH($A381,ESLData!$B$1:$B$9983,0))</f>
        <v>0</v>
      </c>
    </row>
    <row r="382" spans="1:8" x14ac:dyDescent="0.2">
      <c r="A382" s="540">
        <v>35189</v>
      </c>
      <c r="C382" s="541">
        <f>HLOOKUP("start",ESLData!E$1:E$9983,MATCH($A382,ESLData!$B$1:$B$9983,0))</f>
        <v>0</v>
      </c>
      <c r="E382" s="541">
        <f>HLOOKUP("start",ESLData!F$1:F$9983,MATCH($A382,ESLData!$B$1:$B$9983,0))</f>
        <v>0</v>
      </c>
      <c r="G382" s="541">
        <f>HLOOKUP("start",ESLData!H$1:H$9983,MATCH($A382,ESLData!$B$1:$B$9983,0))</f>
        <v>0</v>
      </c>
    </row>
    <row r="383" spans="1:8" x14ac:dyDescent="0.2">
      <c r="A383" s="540">
        <v>35263</v>
      </c>
      <c r="C383" s="541">
        <f>HLOOKUP("start",ESLData!E$1:E$9983,MATCH($A383,ESLData!$B$1:$B$9983,0))</f>
        <v>0</v>
      </c>
      <c r="E383" s="541">
        <f>HLOOKUP("start",ESLData!F$1:F$9983,MATCH($A383,ESLData!$B$1:$B$9983,0))</f>
        <v>0</v>
      </c>
      <c r="G383" s="541">
        <f>HLOOKUP("start",ESLData!H$1:H$9983,MATCH($A383,ESLData!$B$1:$B$9983,0))</f>
        <v>0</v>
      </c>
    </row>
    <row r="384" spans="1:8" x14ac:dyDescent="0.2">
      <c r="A384" s="540">
        <v>35265</v>
      </c>
      <c r="C384" s="541">
        <f>HLOOKUP("start",ESLData!E$1:E$9983,MATCH($A384,ESLData!$B$1:$B$9983,0))</f>
        <v>0</v>
      </c>
      <c r="E384" s="541">
        <f>HLOOKUP("start",ESLData!F$1:F$9983,MATCH($A384,ESLData!$B$1:$B$9983,0))</f>
        <v>0</v>
      </c>
      <c r="G384" s="541">
        <f>HLOOKUP("start",ESLData!H$1:H$9983,MATCH($A384,ESLData!$B$1:$B$9983,0))</f>
        <v>0</v>
      </c>
    </row>
    <row r="385" spans="1:7" x14ac:dyDescent="0.2">
      <c r="A385" s="540">
        <v>35270</v>
      </c>
      <c r="C385" s="541">
        <f>HLOOKUP("start",ESLData!E$1:E$9983,MATCH($A385,ESLData!$B$1:$B$9983,0))</f>
        <v>0</v>
      </c>
      <c r="E385" s="541">
        <f>HLOOKUP("start",ESLData!F$1:F$9983,MATCH($A385,ESLData!$B$1:$B$9983,0))</f>
        <v>0</v>
      </c>
      <c r="G385" s="541">
        <f>HLOOKUP("start",ESLData!H$1:H$9983,MATCH($A385,ESLData!$B$1:$B$9983,0))</f>
        <v>0</v>
      </c>
    </row>
    <row r="386" spans="1:7" x14ac:dyDescent="0.2">
      <c r="A386" s="540">
        <v>35275</v>
      </c>
      <c r="C386" s="541">
        <f>HLOOKUP("start",ESLData!E$1:E$9983,MATCH($A386,ESLData!$B$1:$B$9983,0))</f>
        <v>0</v>
      </c>
      <c r="E386" s="541">
        <f>HLOOKUP("start",ESLData!F$1:F$9983,MATCH($A386,ESLData!$B$1:$B$9983,0))</f>
        <v>0</v>
      </c>
      <c r="G386" s="541">
        <f>HLOOKUP("start",ESLData!H$1:H$9983,MATCH($A386,ESLData!$B$1:$B$9983,0))</f>
        <v>0</v>
      </c>
    </row>
    <row r="387" spans="1:7" x14ac:dyDescent="0.2">
      <c r="A387" s="540">
        <v>35278</v>
      </c>
      <c r="C387" s="541">
        <f>HLOOKUP("start",ESLData!E$1:E$9983,MATCH($A387,ESLData!$B$1:$B$9983,0))</f>
        <v>0</v>
      </c>
      <c r="E387" s="541">
        <f>HLOOKUP("start",ESLData!F$1:F$9983,MATCH($A387,ESLData!$B$1:$B$9983,0))</f>
        <v>0</v>
      </c>
      <c r="G387" s="541">
        <f>HLOOKUP("start",ESLData!H$1:H$9983,MATCH($A387,ESLData!$B$1:$B$9983,0))</f>
        <v>0</v>
      </c>
    </row>
    <row r="388" spans="1:7" x14ac:dyDescent="0.2">
      <c r="A388" s="540">
        <v>35280</v>
      </c>
      <c r="C388" s="541">
        <f>HLOOKUP("start",ESLData!E$1:E$9983,MATCH($A388,ESLData!$B$1:$B$9983,0))</f>
        <v>0</v>
      </c>
      <c r="E388" s="541">
        <f>HLOOKUP("start",ESLData!F$1:F$9983,MATCH($A388,ESLData!$B$1:$B$9983,0))</f>
        <v>0</v>
      </c>
      <c r="G388" s="541">
        <f>HLOOKUP("start",ESLData!H$1:H$9983,MATCH($A388,ESLData!$B$1:$B$9983,0))</f>
        <v>0</v>
      </c>
    </row>
    <row r="389" spans="1:7" x14ac:dyDescent="0.2">
      <c r="A389" s="540">
        <v>35283</v>
      </c>
      <c r="C389" s="541">
        <f>HLOOKUP("start",ESLData!E$1:E$9983,MATCH($A389,ESLData!$B$1:$B$9983,0))</f>
        <v>0</v>
      </c>
      <c r="E389" s="541">
        <f>HLOOKUP("start",ESLData!F$1:F$9983,MATCH($A389,ESLData!$B$1:$B$9983,0))</f>
        <v>0</v>
      </c>
      <c r="G389" s="541">
        <f>HLOOKUP("start",ESLData!H$1:H$9983,MATCH($A389,ESLData!$B$1:$B$9983,0))</f>
        <v>0</v>
      </c>
    </row>
    <row r="390" spans="1:7" x14ac:dyDescent="0.2">
      <c r="A390" s="540">
        <v>62200</v>
      </c>
      <c r="C390" s="541">
        <f>HLOOKUP("start",ESLData!E$1:E$9983,MATCH($A390,ESLData!$B$1:$B$9983,0))</f>
        <v>130</v>
      </c>
      <c r="E390" s="541">
        <f>HLOOKUP("start",ESLData!F$1:F$9983,MATCH($A390,ESLData!$B$1:$B$9983,0))</f>
        <v>750</v>
      </c>
      <c r="G390" s="541">
        <f>HLOOKUP("start",ESLData!H$1:H$9983,MATCH($A390,ESLData!$B$1:$B$9983,0))</f>
        <v>661.17</v>
      </c>
    </row>
    <row r="391" spans="1:7" x14ac:dyDescent="0.2">
      <c r="A391" s="540">
        <v>62250</v>
      </c>
      <c r="C391" s="541">
        <f>HLOOKUP("start",ESLData!E$1:E$9983,MATCH($A391,ESLData!$B$1:$B$9983,0))</f>
        <v>2437.85</v>
      </c>
      <c r="E391" s="541">
        <f>HLOOKUP("start",ESLData!F$1:F$9983,MATCH($A391,ESLData!$B$1:$B$9983,0))</f>
        <v>4000</v>
      </c>
      <c r="G391" s="541">
        <f>HLOOKUP("start",ESLData!H$1:H$9983,MATCH($A391,ESLData!$B$1:$B$9983,0))</f>
        <v>6618.77</v>
      </c>
    </row>
    <row r="392" spans="1:7" x14ac:dyDescent="0.2">
      <c r="A392" s="540">
        <v>62300</v>
      </c>
      <c r="C392" s="541">
        <f>HLOOKUP("start",ESLData!E$1:E$9983,MATCH($A392,ESLData!$B$1:$B$9983,0))</f>
        <v>3894.7</v>
      </c>
      <c r="E392" s="541">
        <f>HLOOKUP("start",ESLData!F$1:F$9983,MATCH($A392,ESLData!$B$1:$B$9983,0))</f>
        <v>3500</v>
      </c>
      <c r="G392" s="541">
        <f>HLOOKUP("start",ESLData!H$1:H$9983,MATCH($A392,ESLData!$B$1:$B$9983,0))</f>
        <v>2882.91</v>
      </c>
    </row>
    <row r="393" spans="1:7" x14ac:dyDescent="0.2">
      <c r="A393" s="540">
        <v>62360</v>
      </c>
      <c r="C393" s="541">
        <f>HLOOKUP("start",ESLData!E$1:E$9983,MATCH($A393,ESLData!$B$1:$B$9983,0))</f>
        <v>124.6</v>
      </c>
      <c r="E393" s="541">
        <f>HLOOKUP("start",ESLData!F$1:F$9983,MATCH($A393,ESLData!$B$1:$B$9983,0))</f>
        <v>300</v>
      </c>
      <c r="G393" s="541">
        <f>HLOOKUP("start",ESLData!H$1:H$9983,MATCH($A393,ESLData!$B$1:$B$9983,0))</f>
        <v>223.03</v>
      </c>
    </row>
    <row r="394" spans="1:7" x14ac:dyDescent="0.2">
      <c r="A394" s="540">
        <v>62400</v>
      </c>
      <c r="C394" s="541">
        <f>HLOOKUP("start",ESLData!E$1:E$9983,MATCH($A394,ESLData!$B$1:$B$9983,0))</f>
        <v>173.91</v>
      </c>
      <c r="E394" s="541">
        <f>HLOOKUP("start",ESLData!F$1:F$9983,MATCH($A394,ESLData!$B$1:$B$9983,0))</f>
        <v>300</v>
      </c>
      <c r="G394" s="541">
        <f>HLOOKUP("start",ESLData!H$1:H$9983,MATCH($A394,ESLData!$B$1:$B$9983,0))</f>
        <v>95.65</v>
      </c>
    </row>
    <row r="395" spans="1:7" x14ac:dyDescent="0.2">
      <c r="A395" s="540">
        <v>62450</v>
      </c>
      <c r="C395" s="541">
        <f>HLOOKUP("start",ESLData!E$1:E$9983,MATCH($A395,ESLData!$B$1:$B$9983,0))</f>
        <v>1054.2</v>
      </c>
      <c r="E395" s="541">
        <f>HLOOKUP("start",ESLData!F$1:F$9983,MATCH($A395,ESLData!$B$1:$B$9983,0))</f>
        <v>2000</v>
      </c>
      <c r="G395" s="541">
        <f>HLOOKUP("start",ESLData!H$1:H$9983,MATCH($A395,ESLData!$B$1:$B$9983,0))</f>
        <v>1466.06</v>
      </c>
    </row>
    <row r="396" spans="1:7" x14ac:dyDescent="0.2">
      <c r="A396" s="540">
        <v>63200</v>
      </c>
      <c r="C396" s="541">
        <f>HLOOKUP("start",ESLData!E$1:E$9983,MATCH($A396,ESLData!$B$1:$B$9983,0))</f>
        <v>0</v>
      </c>
      <c r="E396" s="541">
        <f>HLOOKUP("start",ESLData!F$1:F$9983,MATCH($A396,ESLData!$B$1:$B$9983,0))</f>
        <v>750</v>
      </c>
      <c r="G396" s="541">
        <f>HLOOKUP("start",ESLData!H$1:H$9983,MATCH($A396,ESLData!$B$1:$B$9983,0))</f>
        <v>56.52</v>
      </c>
    </row>
    <row r="397" spans="1:7" x14ac:dyDescent="0.2">
      <c r="A397" s="540">
        <v>63250</v>
      </c>
      <c r="C397" s="541">
        <f>HLOOKUP("start",ESLData!E$1:E$9983,MATCH($A397,ESLData!$B$1:$B$9983,0))</f>
        <v>585.66999999999996</v>
      </c>
      <c r="E397" s="541">
        <f>HLOOKUP("start",ESLData!F$1:F$9983,MATCH($A397,ESLData!$B$1:$B$9983,0))</f>
        <v>2000</v>
      </c>
      <c r="G397" s="541">
        <f>HLOOKUP("start",ESLData!H$1:H$9983,MATCH($A397,ESLData!$B$1:$B$9983,0))</f>
        <v>2565.21</v>
      </c>
    </row>
    <row r="398" spans="1:7" x14ac:dyDescent="0.2">
      <c r="A398" s="540">
        <v>63300</v>
      </c>
      <c r="C398" s="541">
        <f>HLOOKUP("start",ESLData!E$1:E$9983,MATCH($A398,ESLData!$B$1:$B$9983,0))</f>
        <v>1672.62</v>
      </c>
      <c r="E398" s="541">
        <f>HLOOKUP("start",ESLData!F$1:F$9983,MATCH($A398,ESLData!$B$1:$B$9983,0))</f>
        <v>1500</v>
      </c>
      <c r="G398" s="541">
        <f>HLOOKUP("start",ESLData!H$1:H$9983,MATCH($A398,ESLData!$B$1:$B$9983,0))</f>
        <v>680.17</v>
      </c>
    </row>
    <row r="399" spans="1:7" x14ac:dyDescent="0.2">
      <c r="A399" s="540">
        <v>63400</v>
      </c>
      <c r="C399" s="541">
        <f>HLOOKUP("start",ESLData!E$1:E$9983,MATCH($A399,ESLData!$B$1:$B$9983,0))</f>
        <v>180.41</v>
      </c>
      <c r="E399" s="541">
        <f>HLOOKUP("start",ESLData!F$1:F$9983,MATCH($A399,ESLData!$B$1:$B$9983,0))</f>
        <v>250</v>
      </c>
      <c r="G399" s="541">
        <f>HLOOKUP("start",ESLData!H$1:H$9983,MATCH($A399,ESLData!$B$1:$B$9983,0))</f>
        <v>0</v>
      </c>
    </row>
    <row r="400" spans="1:7" x14ac:dyDescent="0.2">
      <c r="A400" s="540">
        <v>63450</v>
      </c>
      <c r="C400" s="541">
        <f>HLOOKUP("start",ESLData!E$1:E$9983,MATCH($A400,ESLData!$B$1:$B$9983,0))</f>
        <v>0</v>
      </c>
      <c r="E400" s="541">
        <f>HLOOKUP("start",ESLData!F$1:F$9983,MATCH($A400,ESLData!$B$1:$B$9983,0))</f>
        <v>200</v>
      </c>
      <c r="G400" s="541">
        <f>HLOOKUP("start",ESLData!H$1:H$9983,MATCH($A400,ESLData!$B$1:$B$9983,0))</f>
        <v>0</v>
      </c>
    </row>
    <row r="401" spans="1:7" x14ac:dyDescent="0.2">
      <c r="A401" s="540">
        <v>63460</v>
      </c>
      <c r="C401" s="541">
        <f>HLOOKUP("start",ESLData!E$1:E$9983,MATCH($A401,ESLData!$B$1:$B$9983,0))</f>
        <v>639.13</v>
      </c>
      <c r="E401" s="541">
        <f>HLOOKUP("start",ESLData!F$1:F$9983,MATCH($A401,ESLData!$B$1:$B$9983,0))</f>
        <v>500</v>
      </c>
      <c r="G401" s="541">
        <f>HLOOKUP("start",ESLData!H$1:H$9983,MATCH($A401,ESLData!$B$1:$B$9983,0))</f>
        <v>147.22999999999999</v>
      </c>
    </row>
    <row r="402" spans="1:7" x14ac:dyDescent="0.2">
      <c r="A402" s="540">
        <v>35325</v>
      </c>
      <c r="C402" s="541">
        <f>HLOOKUP("start",ESLData!E$1:E$9983,MATCH($A402,ESLData!$B$1:$B$9983,0))</f>
        <v>110.87</v>
      </c>
      <c r="E402" s="541">
        <f>HLOOKUP("start",ESLData!F$1:F$9983,MATCH($A402,ESLData!$B$1:$B$9983,0))</f>
        <v>500</v>
      </c>
      <c r="G402" s="541">
        <f>HLOOKUP("start",ESLData!H$1:H$9983,MATCH($A402,ESLData!$B$1:$B$9983,0))</f>
        <v>574.04999999999995</v>
      </c>
    </row>
    <row r="403" spans="1:7" x14ac:dyDescent="0.2">
      <c r="A403" s="540">
        <v>35330</v>
      </c>
      <c r="C403" s="541">
        <f>HLOOKUP("start",ESLData!E$1:E$9983,MATCH($A403,ESLData!$B$1:$B$9983,0))</f>
        <v>621.54999999999995</v>
      </c>
      <c r="E403" s="541">
        <f>HLOOKUP("start",ESLData!F$1:F$9983,MATCH($A403,ESLData!$B$1:$B$9983,0))</f>
        <v>2000</v>
      </c>
      <c r="G403" s="541">
        <f>HLOOKUP("start",ESLData!H$1:H$9983,MATCH($A403,ESLData!$B$1:$B$9983,0))</f>
        <v>2490.33</v>
      </c>
    </row>
    <row r="404" spans="1:7" x14ac:dyDescent="0.2">
      <c r="A404" s="540">
        <v>35335</v>
      </c>
      <c r="C404" s="541">
        <f>HLOOKUP("start",ESLData!E$1:E$9983,MATCH($A404,ESLData!$B$1:$B$9983,0))</f>
        <v>1439.1</v>
      </c>
      <c r="E404" s="541">
        <f>HLOOKUP("start",ESLData!F$1:F$9983,MATCH($A404,ESLData!$B$1:$B$9983,0))</f>
        <v>1500</v>
      </c>
      <c r="G404" s="541">
        <f>HLOOKUP("start",ESLData!H$1:H$9983,MATCH($A404,ESLData!$B$1:$B$9983,0))</f>
        <v>1773.43</v>
      </c>
    </row>
    <row r="405" spans="1:7" x14ac:dyDescent="0.2">
      <c r="A405" s="540">
        <v>35345</v>
      </c>
      <c r="C405" s="541">
        <f>HLOOKUP("start",ESLData!E$1:E$9983,MATCH($A405,ESLData!$B$1:$B$9983,0))</f>
        <v>0</v>
      </c>
      <c r="E405" s="541">
        <f>HLOOKUP("start",ESLData!F$1:F$9983,MATCH($A405,ESLData!$B$1:$B$9983,0))</f>
        <v>0</v>
      </c>
      <c r="G405" s="541">
        <f>HLOOKUP("start",ESLData!H$1:H$9983,MATCH($A405,ESLData!$B$1:$B$9983,0))</f>
        <v>0</v>
      </c>
    </row>
    <row r="406" spans="1:7" x14ac:dyDescent="0.2">
      <c r="A406" s="540">
        <v>35350</v>
      </c>
      <c r="C406" s="541">
        <f>HLOOKUP("start",ESLData!E$1:E$9983,MATCH($A406,ESLData!$B$1:$B$9983,0))</f>
        <v>0</v>
      </c>
      <c r="E406" s="541">
        <f>HLOOKUP("start",ESLData!F$1:F$9983,MATCH($A406,ESLData!$B$1:$B$9983,0))</f>
        <v>100</v>
      </c>
      <c r="G406" s="541">
        <f>HLOOKUP("start",ESLData!H$1:H$9983,MATCH($A406,ESLData!$B$1:$B$9983,0))</f>
        <v>200.09</v>
      </c>
    </row>
    <row r="407" spans="1:7" x14ac:dyDescent="0.2">
      <c r="A407" s="540">
        <v>35355</v>
      </c>
      <c r="C407" s="541">
        <f>HLOOKUP("start",ESLData!E$1:E$9983,MATCH($A407,ESLData!$B$1:$B$9983,0))</f>
        <v>0</v>
      </c>
      <c r="E407" s="541">
        <f>HLOOKUP("start",ESLData!F$1:F$9983,MATCH($A407,ESLData!$B$1:$B$9983,0))</f>
        <v>0</v>
      </c>
      <c r="G407" s="541">
        <f>HLOOKUP("start",ESLData!H$1:H$9983,MATCH($A407,ESLData!$B$1:$B$9983,0))</f>
        <v>0</v>
      </c>
    </row>
    <row r="408" spans="1:7" x14ac:dyDescent="0.2">
      <c r="A408" s="540">
        <v>35360</v>
      </c>
      <c r="C408" s="541">
        <f>HLOOKUP("start",ESLData!E$1:E$9983,MATCH($A408,ESLData!$B$1:$B$9983,0))</f>
        <v>878.15</v>
      </c>
      <c r="E408" s="541">
        <f>HLOOKUP("start",ESLData!F$1:F$9983,MATCH($A408,ESLData!$B$1:$B$9983,0))</f>
        <v>1000</v>
      </c>
      <c r="G408" s="541">
        <f>HLOOKUP("start",ESLData!H$1:H$9983,MATCH($A408,ESLData!$B$1:$B$9983,0))</f>
        <v>764.91</v>
      </c>
    </row>
    <row r="409" spans="1:7" x14ac:dyDescent="0.2">
      <c r="A409" s="540">
        <v>35365</v>
      </c>
      <c r="C409" s="541">
        <f>HLOOKUP("start",ESLData!E$1:E$9983,MATCH($A409,ESLData!$B$1:$B$9983,0))</f>
        <v>0</v>
      </c>
      <c r="E409" s="541">
        <f>HLOOKUP("start",ESLData!F$1:F$9983,MATCH($A409,ESLData!$B$1:$B$9983,0))</f>
        <v>0</v>
      </c>
      <c r="G409" s="541">
        <f>HLOOKUP("start",ESLData!H$1:H$9983,MATCH($A409,ESLData!$B$1:$B$9983,0))</f>
        <v>0</v>
      </c>
    </row>
    <row r="410" spans="1:7" x14ac:dyDescent="0.2">
      <c r="A410" s="540">
        <v>35625</v>
      </c>
      <c r="C410" s="541">
        <f>HLOOKUP("start",ESLData!E$1:E$9983,MATCH($A410,ESLData!$B$1:$B$9983,0))</f>
        <v>256.83</v>
      </c>
      <c r="E410" s="541">
        <f>HLOOKUP("start",ESLData!F$1:F$9983,MATCH($A410,ESLData!$B$1:$B$9983,0))</f>
        <v>400</v>
      </c>
      <c r="G410" s="541">
        <f>HLOOKUP("start",ESLData!H$1:H$9983,MATCH($A410,ESLData!$B$1:$B$9983,0))</f>
        <v>321.72000000000003</v>
      </c>
    </row>
    <row r="411" spans="1:7" x14ac:dyDescent="0.2">
      <c r="A411" s="540">
        <v>35630</v>
      </c>
      <c r="C411" s="541">
        <f>HLOOKUP("start",ESLData!E$1:E$9983,MATCH($A411,ESLData!$B$1:$B$9983,0))</f>
        <v>619.83000000000004</v>
      </c>
      <c r="E411" s="541">
        <f>HLOOKUP("start",ESLData!F$1:F$9983,MATCH($A411,ESLData!$B$1:$B$9983,0))</f>
        <v>1500</v>
      </c>
      <c r="G411" s="541">
        <f>HLOOKUP("start",ESLData!H$1:H$9983,MATCH($A411,ESLData!$B$1:$B$9983,0))</f>
        <v>961.31</v>
      </c>
    </row>
    <row r="412" spans="1:7" x14ac:dyDescent="0.2">
      <c r="A412" s="540">
        <v>35640</v>
      </c>
      <c r="C412" s="541">
        <f>HLOOKUP("start",ESLData!E$1:E$9983,MATCH($A412,ESLData!$B$1:$B$9983,0))</f>
        <v>0</v>
      </c>
      <c r="E412" s="541">
        <f>HLOOKUP("start",ESLData!F$1:F$9983,MATCH($A412,ESLData!$B$1:$B$9983,0))</f>
        <v>200</v>
      </c>
      <c r="G412" s="541">
        <f>HLOOKUP("start",ESLData!H$1:H$9983,MATCH($A412,ESLData!$B$1:$B$9983,0))</f>
        <v>0</v>
      </c>
    </row>
    <row r="413" spans="1:7" x14ac:dyDescent="0.2">
      <c r="A413" s="540">
        <v>35645</v>
      </c>
      <c r="C413" s="541">
        <f>HLOOKUP("start",ESLData!E$1:E$9983,MATCH($A413,ESLData!$B$1:$B$9983,0))</f>
        <v>537.82000000000005</v>
      </c>
      <c r="E413" s="541">
        <f>HLOOKUP("start",ESLData!F$1:F$9983,MATCH($A413,ESLData!$B$1:$B$9983,0))</f>
        <v>2000</v>
      </c>
      <c r="G413" s="541">
        <f>HLOOKUP("start",ESLData!H$1:H$9983,MATCH($A413,ESLData!$B$1:$B$9983,0))</f>
        <v>2098.66</v>
      </c>
    </row>
    <row r="414" spans="1:7" x14ac:dyDescent="0.2">
      <c r="A414" s="540">
        <v>35650</v>
      </c>
      <c r="C414" s="541">
        <f>HLOOKUP("start",ESLData!E$1:E$9983,MATCH($A414,ESLData!$B$1:$B$9983,0))</f>
        <v>0</v>
      </c>
      <c r="E414" s="541">
        <f>HLOOKUP("start",ESLData!F$1:F$9983,MATCH($A414,ESLData!$B$1:$B$9983,0))</f>
        <v>100</v>
      </c>
      <c r="G414" s="541">
        <f>HLOOKUP("start",ESLData!H$1:H$9983,MATCH($A414,ESLData!$B$1:$B$9983,0))</f>
        <v>0</v>
      </c>
    </row>
    <row r="415" spans="1:7" x14ac:dyDescent="0.2">
      <c r="A415" s="540">
        <v>35660</v>
      </c>
      <c r="C415" s="541">
        <f>HLOOKUP("start",ESLData!E$1:E$9983,MATCH($A415,ESLData!$B$1:$B$9983,0))</f>
        <v>1724.62</v>
      </c>
      <c r="E415" s="541">
        <f>HLOOKUP("start",ESLData!F$1:F$9983,MATCH($A415,ESLData!$B$1:$B$9983,0))</f>
        <v>2000</v>
      </c>
      <c r="G415" s="541">
        <f>HLOOKUP("start",ESLData!H$1:H$9983,MATCH($A415,ESLData!$B$1:$B$9983,0))</f>
        <v>2111.42</v>
      </c>
    </row>
    <row r="416" spans="1:7" x14ac:dyDescent="0.2">
      <c r="A416" s="540">
        <v>39006</v>
      </c>
      <c r="C416" s="541">
        <f>HLOOKUP("start",ESLData!E$1:E$9983,MATCH($A416,ESLData!$B$1:$B$9983,0))</f>
        <v>544.36</v>
      </c>
      <c r="E416" s="541">
        <f>HLOOKUP("start",ESLData!F$1:F$9983,MATCH($A416,ESLData!$B$1:$B$9983,0))</f>
        <v>700</v>
      </c>
      <c r="G416" s="541">
        <f>HLOOKUP("start",ESLData!H$1:H$9983,MATCH($A416,ESLData!$B$1:$B$9983,0))</f>
        <v>467.67</v>
      </c>
    </row>
    <row r="417" spans="1:7" x14ac:dyDescent="0.2">
      <c r="A417" s="540">
        <v>39007</v>
      </c>
      <c r="C417" s="541">
        <f>HLOOKUP("start",ESLData!E$1:E$9983,MATCH($A417,ESLData!$B$1:$B$9983,0))</f>
        <v>934.86</v>
      </c>
      <c r="E417" s="541">
        <f>HLOOKUP("start",ESLData!F$1:F$9983,MATCH($A417,ESLData!$B$1:$B$9983,0))</f>
        <v>4500</v>
      </c>
      <c r="G417" s="541">
        <f>HLOOKUP("start",ESLData!H$1:H$9983,MATCH($A417,ESLData!$B$1:$B$9983,0))</f>
        <v>5013.0600000000004</v>
      </c>
    </row>
    <row r="418" spans="1:7" x14ac:dyDescent="0.2">
      <c r="A418" s="540">
        <v>39008</v>
      </c>
      <c r="C418" s="541">
        <f>HLOOKUP("start",ESLData!E$1:E$9983,MATCH($A418,ESLData!$B$1:$B$9983,0))</f>
        <v>2068.8200000000002</v>
      </c>
      <c r="E418" s="541">
        <f>HLOOKUP("start",ESLData!F$1:F$9983,MATCH($A418,ESLData!$B$1:$B$9983,0))</f>
        <v>3000</v>
      </c>
      <c r="G418" s="541">
        <f>HLOOKUP("start",ESLData!H$1:H$9983,MATCH($A418,ESLData!$B$1:$B$9983,0))</f>
        <v>2481</v>
      </c>
    </row>
    <row r="419" spans="1:7" x14ac:dyDescent="0.2">
      <c r="A419" s="540">
        <v>39010</v>
      </c>
      <c r="C419" s="541">
        <f>HLOOKUP("start",ESLData!E$1:E$9983,MATCH($A419,ESLData!$B$1:$B$9983,0))</f>
        <v>80.97</v>
      </c>
      <c r="E419" s="541">
        <f>HLOOKUP("start",ESLData!F$1:F$9983,MATCH($A419,ESLData!$B$1:$B$9983,0))</f>
        <v>200</v>
      </c>
      <c r="G419" s="541">
        <f>HLOOKUP("start",ESLData!H$1:H$9983,MATCH($A419,ESLData!$B$1:$B$9983,0))</f>
        <v>150.87</v>
      </c>
    </row>
    <row r="420" spans="1:7" x14ac:dyDescent="0.2">
      <c r="A420" s="540">
        <v>39011</v>
      </c>
      <c r="C420" s="541">
        <f>HLOOKUP("start",ESLData!E$1:E$9983,MATCH($A420,ESLData!$B$1:$B$9983,0))</f>
        <v>0</v>
      </c>
      <c r="E420" s="541">
        <f>HLOOKUP("start",ESLData!F$1:F$9983,MATCH($A420,ESLData!$B$1:$B$9983,0))</f>
        <v>200</v>
      </c>
      <c r="G420" s="541">
        <f>HLOOKUP("start",ESLData!H$1:H$9983,MATCH($A420,ESLData!$B$1:$B$9983,0))</f>
        <v>0</v>
      </c>
    </row>
    <row r="421" spans="1:7" x14ac:dyDescent="0.2">
      <c r="A421" s="540">
        <v>39012</v>
      </c>
      <c r="C421" s="541">
        <f>HLOOKUP("start",ESLData!E$1:E$9983,MATCH($A421,ESLData!$B$1:$B$9983,0))</f>
        <v>0</v>
      </c>
      <c r="E421" s="541">
        <f>HLOOKUP("start",ESLData!F$1:F$9983,MATCH($A421,ESLData!$B$1:$B$9983,0))</f>
        <v>0</v>
      </c>
      <c r="G421" s="541">
        <f>HLOOKUP("start",ESLData!H$1:H$9983,MATCH($A421,ESLData!$B$1:$B$9983,0))</f>
        <v>0</v>
      </c>
    </row>
    <row r="422" spans="1:7" x14ac:dyDescent="0.2">
      <c r="A422" s="540">
        <v>39013</v>
      </c>
      <c r="C422" s="541">
        <f>HLOOKUP("start",ESLData!E$1:E$9983,MATCH($A422,ESLData!$B$1:$B$9983,0))</f>
        <v>700.31</v>
      </c>
      <c r="E422" s="541">
        <f>HLOOKUP("start",ESLData!F$1:F$9983,MATCH($A422,ESLData!$B$1:$B$9983,0))</f>
        <v>1500</v>
      </c>
      <c r="G422" s="541">
        <f>HLOOKUP("start",ESLData!H$1:H$9983,MATCH($A422,ESLData!$B$1:$B$9983,0))</f>
        <v>1670.97</v>
      </c>
    </row>
    <row r="423" spans="1:7" x14ac:dyDescent="0.2">
      <c r="A423" s="540">
        <v>39014</v>
      </c>
      <c r="C423" s="541">
        <f>HLOOKUP("start",ESLData!E$1:E$9983,MATCH($A423,ESLData!$B$1:$B$9983,0))</f>
        <v>992.25</v>
      </c>
      <c r="E423" s="541">
        <f>HLOOKUP("start",ESLData!F$1:F$9983,MATCH($A423,ESLData!$B$1:$B$9983,0))</f>
        <v>2000</v>
      </c>
      <c r="G423" s="541">
        <f>HLOOKUP("start",ESLData!H$1:H$9983,MATCH($A423,ESLData!$B$1:$B$9983,0))</f>
        <v>716.34</v>
      </c>
    </row>
    <row r="424" spans="1:7" x14ac:dyDescent="0.2">
      <c r="A424" s="540">
        <v>39056</v>
      </c>
      <c r="C424" s="541">
        <f>HLOOKUP("start",ESLData!E$1:E$9983,MATCH($A424,ESLData!$B$1:$B$9983,0))</f>
        <v>157.32</v>
      </c>
      <c r="E424" s="541">
        <f>HLOOKUP("start",ESLData!F$1:F$9983,MATCH($A424,ESLData!$B$1:$B$9983,0))</f>
        <v>1000</v>
      </c>
      <c r="G424" s="541">
        <f>HLOOKUP("start",ESLData!H$1:H$9983,MATCH($A424,ESLData!$B$1:$B$9983,0))</f>
        <v>453.02</v>
      </c>
    </row>
    <row r="425" spans="1:7" x14ac:dyDescent="0.2">
      <c r="A425" s="540">
        <v>39057</v>
      </c>
      <c r="C425" s="541">
        <f>HLOOKUP("start",ESLData!E$1:E$9983,MATCH($A425,ESLData!$B$1:$B$9983,0))</f>
        <v>2260.33</v>
      </c>
      <c r="E425" s="541">
        <f>HLOOKUP("start",ESLData!F$1:F$9983,MATCH($A425,ESLData!$B$1:$B$9983,0))</f>
        <v>3500</v>
      </c>
      <c r="G425" s="541">
        <f>HLOOKUP("start",ESLData!H$1:H$9983,MATCH($A425,ESLData!$B$1:$B$9983,0))</f>
        <v>5010.53</v>
      </c>
    </row>
    <row r="426" spans="1:7" x14ac:dyDescent="0.2">
      <c r="A426" s="540">
        <v>39058</v>
      </c>
      <c r="C426" s="541">
        <f>HLOOKUP("start",ESLData!E$1:E$9983,MATCH($A426,ESLData!$B$1:$B$9983,0))</f>
        <v>2935.48</v>
      </c>
      <c r="E426" s="541">
        <f>HLOOKUP("start",ESLData!F$1:F$9983,MATCH($A426,ESLData!$B$1:$B$9983,0))</f>
        <v>4700</v>
      </c>
      <c r="G426" s="541">
        <f>HLOOKUP("start",ESLData!H$1:H$9983,MATCH($A426,ESLData!$B$1:$B$9983,0))</f>
        <v>3650.82</v>
      </c>
    </row>
    <row r="427" spans="1:7" x14ac:dyDescent="0.2">
      <c r="A427" s="540">
        <v>39060</v>
      </c>
      <c r="C427" s="541">
        <f>HLOOKUP("start",ESLData!E$1:E$9983,MATCH($A427,ESLData!$B$1:$B$9983,0))</f>
        <v>377.1</v>
      </c>
      <c r="E427" s="541">
        <f>HLOOKUP("start",ESLData!F$1:F$9983,MATCH($A427,ESLData!$B$1:$B$9983,0))</f>
        <v>750</v>
      </c>
      <c r="G427" s="541">
        <f>HLOOKUP("start",ESLData!H$1:H$9983,MATCH($A427,ESLData!$B$1:$B$9983,0))</f>
        <v>394.85</v>
      </c>
    </row>
    <row r="428" spans="1:7" x14ac:dyDescent="0.2">
      <c r="A428" s="540">
        <v>39061</v>
      </c>
      <c r="C428" s="541">
        <f>HLOOKUP("start",ESLData!E$1:E$9983,MATCH($A428,ESLData!$B$1:$B$9983,0))</f>
        <v>47.83</v>
      </c>
      <c r="E428" s="541">
        <f>HLOOKUP("start",ESLData!F$1:F$9983,MATCH($A428,ESLData!$B$1:$B$9983,0))</f>
        <v>200</v>
      </c>
      <c r="G428" s="541">
        <f>HLOOKUP("start",ESLData!H$1:H$9983,MATCH($A428,ESLData!$B$1:$B$9983,0))</f>
        <v>0</v>
      </c>
    </row>
    <row r="429" spans="1:7" x14ac:dyDescent="0.2">
      <c r="A429" s="540">
        <v>39062</v>
      </c>
      <c r="C429" s="541">
        <f>HLOOKUP("start",ESLData!E$1:E$9983,MATCH($A429,ESLData!$B$1:$B$9983,0))</f>
        <v>717.04</v>
      </c>
      <c r="E429" s="541">
        <f>HLOOKUP("start",ESLData!F$1:F$9983,MATCH($A429,ESLData!$B$1:$B$9983,0))</f>
        <v>750</v>
      </c>
      <c r="G429" s="541">
        <f>HLOOKUP("start",ESLData!H$1:H$9983,MATCH($A429,ESLData!$B$1:$B$9983,0))</f>
        <v>659.28</v>
      </c>
    </row>
    <row r="430" spans="1:7" x14ac:dyDescent="0.2">
      <c r="A430" s="540">
        <v>39063</v>
      </c>
      <c r="C430" s="541">
        <f>HLOOKUP("start",ESLData!E$1:E$9983,MATCH($A430,ESLData!$B$1:$B$9983,0))</f>
        <v>395.89</v>
      </c>
      <c r="E430" s="541">
        <f>HLOOKUP("start",ESLData!F$1:F$9983,MATCH($A430,ESLData!$B$1:$B$9983,0))</f>
        <v>750</v>
      </c>
      <c r="G430" s="541">
        <f>HLOOKUP("start",ESLData!H$1:H$9983,MATCH($A430,ESLData!$B$1:$B$9983,0))</f>
        <v>726.57</v>
      </c>
    </row>
    <row r="431" spans="1:7" x14ac:dyDescent="0.2">
      <c r="A431" s="540">
        <v>39106</v>
      </c>
      <c r="C431" s="541">
        <f>HLOOKUP("start",ESLData!E$1:E$9983,MATCH($A431,ESLData!$B$1:$B$9983,0))</f>
        <v>128.96</v>
      </c>
      <c r="E431" s="541">
        <f>HLOOKUP("start",ESLData!F$1:F$9983,MATCH($A431,ESLData!$B$1:$B$9983,0))</f>
        <v>1000</v>
      </c>
      <c r="G431" s="541">
        <f>HLOOKUP("start",ESLData!H$1:H$9983,MATCH($A431,ESLData!$B$1:$B$9983,0))</f>
        <v>651.83000000000004</v>
      </c>
    </row>
    <row r="432" spans="1:7" x14ac:dyDescent="0.2">
      <c r="A432" s="540">
        <v>39107</v>
      </c>
      <c r="C432" s="541">
        <f>HLOOKUP("start",ESLData!E$1:E$9983,MATCH($A432,ESLData!$B$1:$B$9983,0))</f>
        <v>1155.44</v>
      </c>
      <c r="E432" s="541">
        <f>HLOOKUP("start",ESLData!F$1:F$9983,MATCH($A432,ESLData!$B$1:$B$9983,0))</f>
        <v>2000</v>
      </c>
      <c r="G432" s="541">
        <f>HLOOKUP("start",ESLData!H$1:H$9983,MATCH($A432,ESLData!$B$1:$B$9983,0))</f>
        <v>1161.31</v>
      </c>
    </row>
    <row r="433" spans="1:7" x14ac:dyDescent="0.2">
      <c r="A433" s="540">
        <v>39108</v>
      </c>
      <c r="C433" s="541">
        <f>HLOOKUP("start",ESLData!E$1:E$9983,MATCH($A433,ESLData!$B$1:$B$9983,0))</f>
        <v>1217.0999999999999</v>
      </c>
      <c r="E433" s="541">
        <f>HLOOKUP("start",ESLData!F$1:F$9983,MATCH($A433,ESLData!$B$1:$B$9983,0))</f>
        <v>1000</v>
      </c>
      <c r="G433" s="541">
        <f>HLOOKUP("start",ESLData!H$1:H$9983,MATCH($A433,ESLData!$B$1:$B$9983,0))</f>
        <v>840.41</v>
      </c>
    </row>
    <row r="434" spans="1:7" x14ac:dyDescent="0.2">
      <c r="A434" s="540">
        <v>39110</v>
      </c>
      <c r="C434" s="541">
        <f>HLOOKUP("start",ESLData!E$1:E$9983,MATCH($A434,ESLData!$B$1:$B$9983,0))</f>
        <v>0</v>
      </c>
      <c r="E434" s="541">
        <f>HLOOKUP("start",ESLData!F$1:F$9983,MATCH($A434,ESLData!$B$1:$B$9983,0))</f>
        <v>200</v>
      </c>
      <c r="G434" s="541">
        <f>HLOOKUP("start",ESLData!H$1:H$9983,MATCH($A434,ESLData!$B$1:$B$9983,0))</f>
        <v>0</v>
      </c>
    </row>
    <row r="435" spans="1:7" x14ac:dyDescent="0.2">
      <c r="A435" s="540">
        <v>39111</v>
      </c>
      <c r="C435" s="541">
        <f>HLOOKUP("start",ESLData!E$1:E$9983,MATCH($A435,ESLData!$B$1:$B$9983,0))</f>
        <v>99.13</v>
      </c>
      <c r="E435" s="541">
        <f>HLOOKUP("start",ESLData!F$1:F$9983,MATCH($A435,ESLData!$B$1:$B$9983,0))</f>
        <v>300</v>
      </c>
      <c r="G435" s="541">
        <f>HLOOKUP("start",ESLData!H$1:H$9983,MATCH($A435,ESLData!$B$1:$B$9983,0))</f>
        <v>0</v>
      </c>
    </row>
    <row r="436" spans="1:7" x14ac:dyDescent="0.2">
      <c r="A436" s="540">
        <v>39112</v>
      </c>
      <c r="C436" s="541">
        <f>HLOOKUP("start",ESLData!E$1:E$9983,MATCH($A436,ESLData!$B$1:$B$9983,0))</f>
        <v>1722.67</v>
      </c>
      <c r="E436" s="541">
        <f>HLOOKUP("start",ESLData!F$1:F$9983,MATCH($A436,ESLData!$B$1:$B$9983,0))</f>
        <v>1500</v>
      </c>
      <c r="G436" s="541">
        <f>HLOOKUP("start",ESLData!H$1:H$9983,MATCH($A436,ESLData!$B$1:$B$9983,0))</f>
        <v>1066.56</v>
      </c>
    </row>
    <row r="437" spans="1:7" x14ac:dyDescent="0.2">
      <c r="A437" s="540">
        <v>39113</v>
      </c>
      <c r="C437" s="541">
        <f>HLOOKUP("start",ESLData!E$1:E$9983,MATCH($A437,ESLData!$B$1:$B$9983,0))</f>
        <v>0</v>
      </c>
      <c r="E437" s="541">
        <f>HLOOKUP("start",ESLData!F$1:F$9983,MATCH($A437,ESLData!$B$1:$B$9983,0))</f>
        <v>0</v>
      </c>
      <c r="G437" s="541">
        <f>HLOOKUP("start",ESLData!H$1:H$9983,MATCH($A437,ESLData!$B$1:$B$9983,0))</f>
        <v>0</v>
      </c>
    </row>
    <row r="438" spans="1:7" x14ac:dyDescent="0.2">
      <c r="A438" s="540">
        <v>39156</v>
      </c>
      <c r="C438" s="541">
        <f>HLOOKUP("start",ESLData!E$1:E$9983,MATCH($A438,ESLData!$B$1:$B$9983,0))</f>
        <v>195.19</v>
      </c>
      <c r="E438" s="541">
        <f>HLOOKUP("start",ESLData!F$1:F$9983,MATCH($A438,ESLData!$B$1:$B$9983,0))</f>
        <v>1500</v>
      </c>
      <c r="G438" s="541">
        <f>HLOOKUP("start",ESLData!H$1:H$9983,MATCH($A438,ESLData!$B$1:$B$9983,0))</f>
        <v>1577.1</v>
      </c>
    </row>
    <row r="439" spans="1:7" x14ac:dyDescent="0.2">
      <c r="A439" s="540">
        <v>39157</v>
      </c>
      <c r="C439" s="541">
        <f>HLOOKUP("start",ESLData!E$1:E$9983,MATCH($A439,ESLData!$B$1:$B$9983,0))</f>
        <v>1474.1</v>
      </c>
      <c r="E439" s="541">
        <f>HLOOKUP("start",ESLData!F$1:F$9983,MATCH($A439,ESLData!$B$1:$B$9983,0))</f>
        <v>3800</v>
      </c>
      <c r="G439" s="541">
        <f>HLOOKUP("start",ESLData!H$1:H$9983,MATCH($A439,ESLData!$B$1:$B$9983,0))</f>
        <v>4622.1899999999996</v>
      </c>
    </row>
    <row r="440" spans="1:7" x14ac:dyDescent="0.2">
      <c r="A440" s="540">
        <v>39158</v>
      </c>
      <c r="C440" s="541">
        <f>HLOOKUP("start",ESLData!E$1:E$9983,MATCH($A440,ESLData!$B$1:$B$9983,0))</f>
        <v>463.95</v>
      </c>
      <c r="E440" s="541">
        <f>HLOOKUP("start",ESLData!F$1:F$9983,MATCH($A440,ESLData!$B$1:$B$9983,0))</f>
        <v>1000</v>
      </c>
      <c r="G440" s="541">
        <f>HLOOKUP("start",ESLData!H$1:H$9983,MATCH($A440,ESLData!$B$1:$B$9983,0))</f>
        <v>948.32</v>
      </c>
    </row>
    <row r="441" spans="1:7" x14ac:dyDescent="0.2">
      <c r="A441" s="540">
        <v>39160</v>
      </c>
      <c r="C441" s="541">
        <f>HLOOKUP("start",ESLData!E$1:E$9983,MATCH($A441,ESLData!$B$1:$B$9983,0))</f>
        <v>86.43</v>
      </c>
      <c r="E441" s="541">
        <f>HLOOKUP("start",ESLData!F$1:F$9983,MATCH($A441,ESLData!$B$1:$B$9983,0))</f>
        <v>200</v>
      </c>
      <c r="G441" s="541">
        <f>HLOOKUP("start",ESLData!H$1:H$9983,MATCH($A441,ESLData!$B$1:$B$9983,0))</f>
        <v>0</v>
      </c>
    </row>
    <row r="442" spans="1:7" x14ac:dyDescent="0.2">
      <c r="A442" s="540">
        <v>39161</v>
      </c>
      <c r="C442" s="541">
        <f>HLOOKUP("start",ESLData!E$1:E$9983,MATCH($A442,ESLData!$B$1:$B$9983,0))</f>
        <v>0</v>
      </c>
      <c r="E442" s="541">
        <f>HLOOKUP("start",ESLData!F$1:F$9983,MATCH($A442,ESLData!$B$1:$B$9983,0))</f>
        <v>200</v>
      </c>
      <c r="G442" s="541">
        <f>HLOOKUP("start",ESLData!H$1:H$9983,MATCH($A442,ESLData!$B$1:$B$9983,0))</f>
        <v>0</v>
      </c>
    </row>
    <row r="443" spans="1:7" x14ac:dyDescent="0.2">
      <c r="A443" s="540">
        <v>39162</v>
      </c>
      <c r="C443" s="541">
        <f>HLOOKUP("start",ESLData!E$1:E$9983,MATCH($A443,ESLData!$B$1:$B$9983,0))</f>
        <v>0</v>
      </c>
      <c r="E443" s="541">
        <f>HLOOKUP("start",ESLData!F$1:F$9983,MATCH($A443,ESLData!$B$1:$B$9983,0))</f>
        <v>0</v>
      </c>
      <c r="G443" s="541">
        <f>HLOOKUP("start",ESLData!H$1:H$9983,MATCH($A443,ESLData!$B$1:$B$9983,0))</f>
        <v>0</v>
      </c>
    </row>
    <row r="444" spans="1:7" x14ac:dyDescent="0.2">
      <c r="A444" s="540">
        <v>39163</v>
      </c>
      <c r="C444" s="541">
        <f>HLOOKUP("start",ESLData!E$1:E$9983,MATCH($A444,ESLData!$B$1:$B$9983,0))</f>
        <v>772.34</v>
      </c>
      <c r="E444" s="541">
        <f>HLOOKUP("start",ESLData!F$1:F$9983,MATCH($A444,ESLData!$B$1:$B$9983,0))</f>
        <v>1000</v>
      </c>
      <c r="G444" s="541">
        <f>HLOOKUP("start",ESLData!H$1:H$9983,MATCH($A444,ESLData!$B$1:$B$9983,0))</f>
        <v>583.29</v>
      </c>
    </row>
    <row r="445" spans="1:7" x14ac:dyDescent="0.2">
      <c r="A445" s="540">
        <v>39164</v>
      </c>
      <c r="C445" s="541">
        <f>HLOOKUP("start",ESLData!E$1:E$9983,MATCH($A445,ESLData!$B$1:$B$9983,0))</f>
        <v>4828.3900000000003</v>
      </c>
      <c r="E445" s="541">
        <f>HLOOKUP("start",ESLData!F$1:F$9983,MATCH($A445,ESLData!$B$1:$B$9983,0))</f>
        <v>1500</v>
      </c>
      <c r="G445" s="541">
        <f>HLOOKUP("start",ESLData!H$1:H$9983,MATCH($A445,ESLData!$B$1:$B$9983,0))</f>
        <v>1734.99</v>
      </c>
    </row>
    <row r="446" spans="1:7" x14ac:dyDescent="0.2">
      <c r="A446" s="540">
        <v>39165</v>
      </c>
      <c r="C446" s="541">
        <f>HLOOKUP("start",ESLData!E$1:E$9983,MATCH($A446,ESLData!$B$1:$B$9983,0))</f>
        <v>0</v>
      </c>
      <c r="E446" s="541">
        <f>HLOOKUP("start",ESLData!F$1:F$9983,MATCH($A446,ESLData!$B$1:$B$9983,0))</f>
        <v>250</v>
      </c>
      <c r="G446" s="541">
        <f>HLOOKUP("start",ESLData!H$1:H$9983,MATCH($A446,ESLData!$B$1:$B$9983,0))</f>
        <v>305.58</v>
      </c>
    </row>
    <row r="447" spans="1:7" x14ac:dyDescent="0.2">
      <c r="A447" s="540">
        <v>39170</v>
      </c>
      <c r="C447" s="541">
        <f>HLOOKUP("start",ESLData!E$1:E$9983,MATCH($A447,ESLData!$B$1:$B$9983,0))</f>
        <v>0</v>
      </c>
      <c r="E447" s="541">
        <f>HLOOKUP("start",ESLData!F$1:F$9983,MATCH($A447,ESLData!$B$1:$B$9983,0))</f>
        <v>0</v>
      </c>
      <c r="G447" s="541">
        <f>HLOOKUP("start",ESLData!H$1:H$9983,MATCH($A447,ESLData!$B$1:$B$9983,0))</f>
        <v>0</v>
      </c>
    </row>
    <row r="448" spans="1:7" x14ac:dyDescent="0.2">
      <c r="A448" s="540">
        <v>39206</v>
      </c>
      <c r="C448" s="541">
        <f>HLOOKUP("start",ESLData!E$1:E$9983,MATCH($A448,ESLData!$B$1:$B$9983,0))</f>
        <v>218</v>
      </c>
      <c r="E448" s="541">
        <f>HLOOKUP("start",ESLData!F$1:F$9983,MATCH($A448,ESLData!$B$1:$B$9983,0))</f>
        <v>450</v>
      </c>
      <c r="G448" s="541">
        <f>HLOOKUP("start",ESLData!H$1:H$9983,MATCH($A448,ESLData!$B$1:$B$9983,0))</f>
        <v>1911.52</v>
      </c>
    </row>
    <row r="449" spans="1:7" x14ac:dyDescent="0.2">
      <c r="A449" s="540">
        <v>39207</v>
      </c>
      <c r="C449" s="541">
        <f>HLOOKUP("start",ESLData!E$1:E$9983,MATCH($A449,ESLData!$B$1:$B$9983,0))</f>
        <v>367.71</v>
      </c>
      <c r="E449" s="541">
        <f>HLOOKUP("start",ESLData!F$1:F$9983,MATCH($A449,ESLData!$B$1:$B$9983,0))</f>
        <v>2000</v>
      </c>
      <c r="G449" s="541">
        <f>HLOOKUP("start",ESLData!H$1:H$9983,MATCH($A449,ESLData!$B$1:$B$9983,0))</f>
        <v>2808.23</v>
      </c>
    </row>
    <row r="450" spans="1:7" x14ac:dyDescent="0.2">
      <c r="A450" s="540">
        <v>39208</v>
      </c>
      <c r="C450" s="541">
        <f>HLOOKUP("start",ESLData!E$1:E$9983,MATCH($A450,ESLData!$B$1:$B$9983,0))</f>
        <v>1020.77</v>
      </c>
      <c r="E450" s="541">
        <f>HLOOKUP("start",ESLData!F$1:F$9983,MATCH($A450,ESLData!$B$1:$B$9983,0))</f>
        <v>1000</v>
      </c>
      <c r="G450" s="541">
        <f>HLOOKUP("start",ESLData!H$1:H$9983,MATCH($A450,ESLData!$B$1:$B$9983,0))</f>
        <v>934.21</v>
      </c>
    </row>
    <row r="451" spans="1:7" x14ac:dyDescent="0.2">
      <c r="A451" s="540">
        <v>39210</v>
      </c>
      <c r="C451" s="541">
        <f>HLOOKUP("start",ESLData!E$1:E$9983,MATCH($A451,ESLData!$B$1:$B$9983,0))</f>
        <v>21.04</v>
      </c>
      <c r="E451" s="541">
        <f>HLOOKUP("start",ESLData!F$1:F$9983,MATCH($A451,ESLData!$B$1:$B$9983,0))</f>
        <v>100</v>
      </c>
      <c r="G451" s="541">
        <f>HLOOKUP("start",ESLData!H$1:H$9983,MATCH($A451,ESLData!$B$1:$B$9983,0))</f>
        <v>0</v>
      </c>
    </row>
    <row r="452" spans="1:7" x14ac:dyDescent="0.2">
      <c r="A452" s="540">
        <v>39211</v>
      </c>
      <c r="C452" s="541">
        <f>HLOOKUP("start",ESLData!E$1:E$9983,MATCH($A452,ESLData!$B$1:$B$9983,0))</f>
        <v>0</v>
      </c>
      <c r="E452" s="541">
        <f>HLOOKUP("start",ESLData!F$1:F$9983,MATCH($A452,ESLData!$B$1:$B$9983,0))</f>
        <v>100</v>
      </c>
      <c r="G452" s="541">
        <f>HLOOKUP("start",ESLData!H$1:H$9983,MATCH($A452,ESLData!$B$1:$B$9983,0))</f>
        <v>0</v>
      </c>
    </row>
    <row r="453" spans="1:7" x14ac:dyDescent="0.2">
      <c r="A453" s="540">
        <v>39212</v>
      </c>
      <c r="C453" s="541">
        <f>HLOOKUP("start",ESLData!E$1:E$9983,MATCH($A453,ESLData!$B$1:$B$9983,0))</f>
        <v>0</v>
      </c>
      <c r="E453" s="541">
        <f>HLOOKUP("start",ESLData!F$1:F$9983,MATCH($A453,ESLData!$B$1:$B$9983,0))</f>
        <v>0</v>
      </c>
      <c r="G453" s="541">
        <f>HLOOKUP("start",ESLData!H$1:H$9983,MATCH($A453,ESLData!$B$1:$B$9983,0))</f>
        <v>0</v>
      </c>
    </row>
    <row r="454" spans="1:7" x14ac:dyDescent="0.2">
      <c r="A454" s="540">
        <v>39214</v>
      </c>
      <c r="C454" s="541">
        <f>HLOOKUP("start",ESLData!E$1:E$9983,MATCH($A454,ESLData!$B$1:$B$9983,0))</f>
        <v>0</v>
      </c>
      <c r="E454" s="541">
        <f>HLOOKUP("start",ESLData!F$1:F$9983,MATCH($A454,ESLData!$B$1:$B$9983,0))</f>
        <v>500</v>
      </c>
      <c r="G454" s="541">
        <f>HLOOKUP("start",ESLData!H$1:H$9983,MATCH($A454,ESLData!$B$1:$B$9983,0))</f>
        <v>249.96</v>
      </c>
    </row>
    <row r="455" spans="1:7" x14ac:dyDescent="0.2">
      <c r="A455" s="540">
        <v>39256</v>
      </c>
      <c r="C455" s="541">
        <f>HLOOKUP("start",ESLData!E$1:E$9983,MATCH($A455,ESLData!$B$1:$B$9983,0))</f>
        <v>122.61</v>
      </c>
      <c r="E455" s="541">
        <f>HLOOKUP("start",ESLData!F$1:F$9983,MATCH($A455,ESLData!$B$1:$B$9983,0))</f>
        <v>500</v>
      </c>
      <c r="G455" s="541">
        <f>HLOOKUP("start",ESLData!H$1:H$9983,MATCH($A455,ESLData!$B$1:$B$9983,0))</f>
        <v>225</v>
      </c>
    </row>
    <row r="456" spans="1:7" x14ac:dyDescent="0.2">
      <c r="A456" s="540">
        <v>39257</v>
      </c>
      <c r="C456" s="541">
        <f>HLOOKUP("start",ESLData!E$1:E$9983,MATCH($A456,ESLData!$B$1:$B$9983,0))</f>
        <v>1296.83</v>
      </c>
      <c r="E456" s="541">
        <f>HLOOKUP("start",ESLData!F$1:F$9983,MATCH($A456,ESLData!$B$1:$B$9983,0))</f>
        <v>4300</v>
      </c>
      <c r="G456" s="541">
        <f>HLOOKUP("start",ESLData!H$1:H$9983,MATCH($A456,ESLData!$B$1:$B$9983,0))</f>
        <v>4656.03</v>
      </c>
    </row>
    <row r="457" spans="1:7" x14ac:dyDescent="0.2">
      <c r="A457" s="540">
        <v>39258</v>
      </c>
      <c r="C457" s="541">
        <f>HLOOKUP("start",ESLData!E$1:E$9983,MATCH($A457,ESLData!$B$1:$B$9983,0))</f>
        <v>1620.9</v>
      </c>
      <c r="E457" s="541">
        <f>HLOOKUP("start",ESLData!F$1:F$9983,MATCH($A457,ESLData!$B$1:$B$9983,0))</f>
        <v>1500</v>
      </c>
      <c r="G457" s="541">
        <f>HLOOKUP("start",ESLData!H$1:H$9983,MATCH($A457,ESLData!$B$1:$B$9983,0))</f>
        <v>1622.43</v>
      </c>
    </row>
    <row r="458" spans="1:7" x14ac:dyDescent="0.2">
      <c r="A458" s="540">
        <v>39260</v>
      </c>
      <c r="C458" s="541">
        <f>HLOOKUP("start",ESLData!E$1:E$9983,MATCH($A458,ESLData!$B$1:$B$9983,0))</f>
        <v>127.08</v>
      </c>
      <c r="E458" s="541">
        <f>HLOOKUP("start",ESLData!F$1:F$9983,MATCH($A458,ESLData!$B$1:$B$9983,0))</f>
        <v>100</v>
      </c>
      <c r="G458" s="541">
        <f>HLOOKUP("start",ESLData!H$1:H$9983,MATCH($A458,ESLData!$B$1:$B$9983,0))</f>
        <v>65.790000000000006</v>
      </c>
    </row>
    <row r="459" spans="1:7" x14ac:dyDescent="0.2">
      <c r="A459" s="540">
        <v>39261</v>
      </c>
      <c r="C459" s="541">
        <f>HLOOKUP("start",ESLData!E$1:E$9983,MATCH($A459,ESLData!$B$1:$B$9983,0))</f>
        <v>0</v>
      </c>
      <c r="E459" s="541">
        <f>HLOOKUP("start",ESLData!F$1:F$9983,MATCH($A459,ESLData!$B$1:$B$9983,0))</f>
        <v>110</v>
      </c>
      <c r="G459" s="541">
        <f>HLOOKUP("start",ESLData!H$1:H$9983,MATCH($A459,ESLData!$B$1:$B$9983,0))</f>
        <v>0</v>
      </c>
    </row>
    <row r="460" spans="1:7" x14ac:dyDescent="0.2">
      <c r="A460" s="540">
        <v>39262</v>
      </c>
      <c r="C460" s="541">
        <f>HLOOKUP("start",ESLData!E$1:E$9983,MATCH($A460,ESLData!$B$1:$B$9983,0))</f>
        <v>0</v>
      </c>
      <c r="E460" s="541">
        <f>HLOOKUP("start",ESLData!F$1:F$9983,MATCH($A460,ESLData!$B$1:$B$9983,0))</f>
        <v>0</v>
      </c>
      <c r="G460" s="541">
        <f>HLOOKUP("start",ESLData!H$1:H$9983,MATCH($A460,ESLData!$B$1:$B$9983,0))</f>
        <v>0</v>
      </c>
    </row>
    <row r="461" spans="1:7" x14ac:dyDescent="0.2">
      <c r="A461" s="540">
        <v>39263</v>
      </c>
      <c r="C461" s="541">
        <f>HLOOKUP("start",ESLData!E$1:E$9983,MATCH($A461,ESLData!$B$1:$B$9983,0))</f>
        <v>263.56</v>
      </c>
      <c r="E461" s="541">
        <f>HLOOKUP("start",ESLData!F$1:F$9983,MATCH($A461,ESLData!$B$1:$B$9983,0))</f>
        <v>750</v>
      </c>
      <c r="G461" s="541">
        <f>HLOOKUP("start",ESLData!H$1:H$9983,MATCH($A461,ESLData!$B$1:$B$9983,0))</f>
        <v>3575.21</v>
      </c>
    </row>
    <row r="462" spans="1:7" x14ac:dyDescent="0.2">
      <c r="A462" s="540">
        <v>39265</v>
      </c>
      <c r="C462" s="541">
        <f>HLOOKUP("start",ESLData!E$1:E$9983,MATCH($A462,ESLData!$B$1:$B$9983,0))</f>
        <v>0</v>
      </c>
      <c r="E462" s="541">
        <f>HLOOKUP("start",ESLData!F$1:F$9983,MATCH($A462,ESLData!$B$1:$B$9983,0))</f>
        <v>0</v>
      </c>
      <c r="G462" s="541">
        <f>HLOOKUP("start",ESLData!H$1:H$9983,MATCH($A462,ESLData!$B$1:$B$9983,0))</f>
        <v>0</v>
      </c>
    </row>
    <row r="463" spans="1:7" x14ac:dyDescent="0.2">
      <c r="A463" s="540">
        <v>39306</v>
      </c>
      <c r="C463" s="541">
        <f>HLOOKUP("start",ESLData!E$1:E$9983,MATCH($A463,ESLData!$B$1:$B$9983,0))</f>
        <v>149.78</v>
      </c>
      <c r="E463" s="541">
        <f>HLOOKUP("start",ESLData!F$1:F$9983,MATCH($A463,ESLData!$B$1:$B$9983,0))</f>
        <v>850</v>
      </c>
      <c r="G463" s="541">
        <f>HLOOKUP("start",ESLData!H$1:H$9983,MATCH($A463,ESLData!$B$1:$B$9983,0))</f>
        <v>992.3</v>
      </c>
    </row>
    <row r="464" spans="1:7" x14ac:dyDescent="0.2">
      <c r="A464" s="540">
        <v>39307</v>
      </c>
      <c r="C464" s="541">
        <f>HLOOKUP("start",ESLData!E$1:E$9983,MATCH($A464,ESLData!$B$1:$B$9983,0))</f>
        <v>1803.42</v>
      </c>
      <c r="E464" s="541">
        <f>HLOOKUP("start",ESLData!F$1:F$9983,MATCH($A464,ESLData!$B$1:$B$9983,0))</f>
        <v>5000</v>
      </c>
      <c r="G464" s="541">
        <f>HLOOKUP("start",ESLData!H$1:H$9983,MATCH($A464,ESLData!$B$1:$B$9983,0))</f>
        <v>5514.72</v>
      </c>
    </row>
    <row r="465" spans="1:7" x14ac:dyDescent="0.2">
      <c r="A465" s="540">
        <v>39308</v>
      </c>
      <c r="C465" s="541">
        <f>HLOOKUP("start",ESLData!E$1:E$9983,MATCH($A465,ESLData!$B$1:$B$9983,0))</f>
        <v>1691.4</v>
      </c>
      <c r="E465" s="541">
        <f>HLOOKUP("start",ESLData!F$1:F$9983,MATCH($A465,ESLData!$B$1:$B$9983,0))</f>
        <v>600</v>
      </c>
      <c r="G465" s="541">
        <f>HLOOKUP("start",ESLData!H$1:H$9983,MATCH($A465,ESLData!$B$1:$B$9983,0))</f>
        <v>658.52</v>
      </c>
    </row>
    <row r="466" spans="1:7" x14ac:dyDescent="0.2">
      <c r="A466" s="540">
        <v>39311</v>
      </c>
      <c r="C466" s="541">
        <f>HLOOKUP("start",ESLData!E$1:E$9983,MATCH($A466,ESLData!$B$1:$B$9983,0))</f>
        <v>0</v>
      </c>
      <c r="E466" s="541">
        <f>HLOOKUP("start",ESLData!F$1:F$9983,MATCH($A466,ESLData!$B$1:$B$9983,0))</f>
        <v>110</v>
      </c>
      <c r="G466" s="541">
        <f>HLOOKUP("start",ESLData!H$1:H$9983,MATCH($A466,ESLData!$B$1:$B$9983,0))</f>
        <v>0</v>
      </c>
    </row>
    <row r="467" spans="1:7" x14ac:dyDescent="0.2">
      <c r="A467" s="540">
        <v>39312</v>
      </c>
      <c r="C467" s="541">
        <f>HLOOKUP("start",ESLData!E$1:E$9983,MATCH($A467,ESLData!$B$1:$B$9983,0))</f>
        <v>0</v>
      </c>
      <c r="E467" s="541">
        <f>HLOOKUP("start",ESLData!F$1:F$9983,MATCH($A467,ESLData!$B$1:$B$9983,0))</f>
        <v>0</v>
      </c>
      <c r="G467" s="541">
        <f>HLOOKUP("start",ESLData!H$1:H$9983,MATCH($A467,ESLData!$B$1:$B$9983,0))</f>
        <v>0</v>
      </c>
    </row>
    <row r="468" spans="1:7" x14ac:dyDescent="0.2">
      <c r="A468" s="540">
        <v>39313</v>
      </c>
      <c r="C468" s="541">
        <f>HLOOKUP("start",ESLData!E$1:E$9983,MATCH($A468,ESLData!$B$1:$B$9983,0))</f>
        <v>2239.29</v>
      </c>
      <c r="E468" s="541">
        <f>HLOOKUP("start",ESLData!F$1:F$9983,MATCH($A468,ESLData!$B$1:$B$9983,0))</f>
        <v>3000</v>
      </c>
      <c r="G468" s="541">
        <f>HLOOKUP("start",ESLData!H$1:H$9983,MATCH($A468,ESLData!$B$1:$B$9983,0))</f>
        <v>1586.24</v>
      </c>
    </row>
    <row r="469" spans="1:7" x14ac:dyDescent="0.2">
      <c r="A469" s="540">
        <v>39314</v>
      </c>
      <c r="C469" s="541">
        <f>HLOOKUP("start",ESLData!E$1:E$9983,MATCH($A469,ESLData!$B$1:$B$9983,0))</f>
        <v>259.99</v>
      </c>
      <c r="E469" s="541">
        <f>HLOOKUP("start",ESLData!F$1:F$9983,MATCH($A469,ESLData!$B$1:$B$9983,0))</f>
        <v>750</v>
      </c>
      <c r="G469" s="541">
        <f>HLOOKUP("start",ESLData!H$1:H$9983,MATCH($A469,ESLData!$B$1:$B$9983,0))</f>
        <v>456.86</v>
      </c>
    </row>
    <row r="470" spans="1:7" x14ac:dyDescent="0.2">
      <c r="A470" s="540">
        <v>39356</v>
      </c>
      <c r="C470" s="541">
        <f>HLOOKUP("start",ESLData!E$1:E$9983,MATCH($A470,ESLData!$B$1:$B$9983,0))</f>
        <v>212.78</v>
      </c>
      <c r="E470" s="541">
        <f>HLOOKUP("start",ESLData!F$1:F$9983,MATCH($A470,ESLData!$B$1:$B$9983,0))</f>
        <v>500</v>
      </c>
      <c r="G470" s="541">
        <f>HLOOKUP("start",ESLData!H$1:H$9983,MATCH($A470,ESLData!$B$1:$B$9983,0))</f>
        <v>145.36000000000001</v>
      </c>
    </row>
    <row r="471" spans="1:7" x14ac:dyDescent="0.2">
      <c r="A471" s="540">
        <v>39357</v>
      </c>
      <c r="C471" s="541">
        <f>HLOOKUP("start",ESLData!E$1:E$9983,MATCH($A471,ESLData!$B$1:$B$9983,0))</f>
        <v>891.71</v>
      </c>
      <c r="E471" s="541">
        <f>HLOOKUP("start",ESLData!F$1:F$9983,MATCH($A471,ESLData!$B$1:$B$9983,0))</f>
        <v>2200</v>
      </c>
      <c r="G471" s="541">
        <f>HLOOKUP("start",ESLData!H$1:H$9983,MATCH($A471,ESLData!$B$1:$B$9983,0))</f>
        <v>3571.67</v>
      </c>
    </row>
    <row r="472" spans="1:7" x14ac:dyDescent="0.2">
      <c r="A472" s="540">
        <v>39358</v>
      </c>
      <c r="C472" s="541">
        <f>HLOOKUP("start",ESLData!E$1:E$9983,MATCH($A472,ESLData!$B$1:$B$9983,0))</f>
        <v>1148.24</v>
      </c>
      <c r="E472" s="541">
        <f>HLOOKUP("start",ESLData!F$1:F$9983,MATCH($A472,ESLData!$B$1:$B$9983,0))</f>
        <v>1500</v>
      </c>
      <c r="G472" s="541">
        <f>HLOOKUP("start",ESLData!H$1:H$9983,MATCH($A472,ESLData!$B$1:$B$9983,0))</f>
        <v>1590.86</v>
      </c>
    </row>
    <row r="473" spans="1:7" x14ac:dyDescent="0.2">
      <c r="A473" s="540">
        <v>39360</v>
      </c>
      <c r="C473" s="541">
        <f>HLOOKUP("start",ESLData!E$1:E$9983,MATCH($A473,ESLData!$B$1:$B$9983,0))</f>
        <v>202.2</v>
      </c>
      <c r="E473" s="541">
        <f>HLOOKUP("start",ESLData!F$1:F$9983,MATCH($A473,ESLData!$B$1:$B$9983,0))</f>
        <v>150</v>
      </c>
      <c r="G473" s="541">
        <f>HLOOKUP("start",ESLData!H$1:H$9983,MATCH($A473,ESLData!$B$1:$B$9983,0))</f>
        <v>0</v>
      </c>
    </row>
    <row r="474" spans="1:7" x14ac:dyDescent="0.2">
      <c r="A474" s="540">
        <v>39361</v>
      </c>
      <c r="C474" s="541">
        <f>HLOOKUP("start",ESLData!E$1:E$9983,MATCH($A474,ESLData!$B$1:$B$9983,0))</f>
        <v>0</v>
      </c>
      <c r="E474" s="541">
        <f>HLOOKUP("start",ESLData!F$1:F$9983,MATCH($A474,ESLData!$B$1:$B$9983,0))</f>
        <v>100</v>
      </c>
      <c r="G474" s="541">
        <f>HLOOKUP("start",ESLData!H$1:H$9983,MATCH($A474,ESLData!$B$1:$B$9983,0))</f>
        <v>0</v>
      </c>
    </row>
    <row r="475" spans="1:7" x14ac:dyDescent="0.2">
      <c r="A475" s="540">
        <v>39363</v>
      </c>
      <c r="C475" s="541">
        <f>HLOOKUP("start",ESLData!E$1:E$9983,MATCH($A475,ESLData!$B$1:$B$9983,0))</f>
        <v>1691.64</v>
      </c>
      <c r="E475" s="541">
        <f>HLOOKUP("start",ESLData!F$1:F$9983,MATCH($A475,ESLData!$B$1:$B$9983,0))</f>
        <v>2000</v>
      </c>
      <c r="G475" s="541">
        <f>HLOOKUP("start",ESLData!H$1:H$9983,MATCH($A475,ESLData!$B$1:$B$9983,0))</f>
        <v>1577.01</v>
      </c>
    </row>
    <row r="476" spans="1:7" x14ac:dyDescent="0.2">
      <c r="A476" s="540">
        <v>39425</v>
      </c>
      <c r="C476" s="541">
        <f>HLOOKUP("start",ESLData!E$1:E$9983,MATCH($A476,ESLData!$B$1:$B$9983,0))</f>
        <v>359.68</v>
      </c>
      <c r="E476" s="541">
        <f>HLOOKUP("start",ESLData!F$1:F$9983,MATCH($A476,ESLData!$B$1:$B$9983,0))</f>
        <v>350</v>
      </c>
      <c r="G476" s="541">
        <f>HLOOKUP("start",ESLData!H$1:H$9983,MATCH($A476,ESLData!$B$1:$B$9983,0))</f>
        <v>224.83</v>
      </c>
    </row>
    <row r="477" spans="1:7" x14ac:dyDescent="0.2">
      <c r="A477" s="540">
        <v>39430</v>
      </c>
      <c r="C477" s="541">
        <f>HLOOKUP("start",ESLData!E$1:E$9983,MATCH($A477,ESLData!$B$1:$B$9983,0))</f>
        <v>330.7</v>
      </c>
      <c r="E477" s="541">
        <f>HLOOKUP("start",ESLData!F$1:F$9983,MATCH($A477,ESLData!$B$1:$B$9983,0))</f>
        <v>800</v>
      </c>
      <c r="G477" s="541">
        <f>HLOOKUP("start",ESLData!H$1:H$9983,MATCH($A477,ESLData!$B$1:$B$9983,0))</f>
        <v>665.43</v>
      </c>
    </row>
    <row r="478" spans="1:7" x14ac:dyDescent="0.2">
      <c r="A478" s="540">
        <v>39440</v>
      </c>
      <c r="C478" s="541">
        <f>HLOOKUP("start",ESLData!E$1:E$9983,MATCH($A478,ESLData!$B$1:$B$9983,0))</f>
        <v>110.91</v>
      </c>
      <c r="E478" s="541">
        <f>HLOOKUP("start",ESLData!F$1:F$9983,MATCH($A478,ESLData!$B$1:$B$9983,0))</f>
        <v>200</v>
      </c>
      <c r="G478" s="541">
        <f>HLOOKUP("start",ESLData!H$1:H$9983,MATCH($A478,ESLData!$B$1:$B$9983,0))</f>
        <v>282.61</v>
      </c>
    </row>
    <row r="479" spans="1:7" x14ac:dyDescent="0.2">
      <c r="A479" s="540">
        <v>39445</v>
      </c>
      <c r="C479" s="541">
        <f>HLOOKUP("start",ESLData!E$1:E$9983,MATCH($A479,ESLData!$B$1:$B$9983,0))</f>
        <v>0</v>
      </c>
      <c r="E479" s="541">
        <f>HLOOKUP("start",ESLData!F$1:F$9983,MATCH($A479,ESLData!$B$1:$B$9983,0))</f>
        <v>0</v>
      </c>
      <c r="G479" s="541">
        <f>HLOOKUP("start",ESLData!H$1:H$9983,MATCH($A479,ESLData!$B$1:$B$9983,0))</f>
        <v>0</v>
      </c>
    </row>
    <row r="480" spans="1:7" x14ac:dyDescent="0.2">
      <c r="A480" s="540">
        <v>39450</v>
      </c>
      <c r="C480" s="541">
        <f>HLOOKUP("start",ESLData!E$1:E$9983,MATCH($A480,ESLData!$B$1:$B$9983,0))</f>
        <v>0</v>
      </c>
      <c r="E480" s="541">
        <f>HLOOKUP("start",ESLData!F$1:F$9983,MATCH($A480,ESLData!$B$1:$B$9983,0))</f>
        <v>100</v>
      </c>
      <c r="G480" s="541">
        <f>HLOOKUP("start",ESLData!H$1:H$9983,MATCH($A480,ESLData!$B$1:$B$9983,0))</f>
        <v>0</v>
      </c>
    </row>
    <row r="481" spans="1:8" x14ac:dyDescent="0.2">
      <c r="A481" s="540">
        <v>39460</v>
      </c>
      <c r="C481" s="541">
        <f>HLOOKUP("start",ESLData!E$1:E$9983,MATCH($A481,ESLData!$B$1:$B$9983,0))</f>
        <v>425.48</v>
      </c>
      <c r="E481" s="541">
        <f>HLOOKUP("start",ESLData!F$1:F$9983,MATCH($A481,ESLData!$B$1:$B$9983,0))</f>
        <v>1000</v>
      </c>
      <c r="G481" s="541">
        <f>HLOOKUP("start",ESLData!H$1:H$9983,MATCH($A481,ESLData!$B$1:$B$9983,0))</f>
        <v>1123.6500000000001</v>
      </c>
    </row>
    <row r="482" spans="1:8" x14ac:dyDescent="0.2">
      <c r="A482" s="540">
        <v>39465</v>
      </c>
      <c r="C482" s="541">
        <f>HLOOKUP("start",ESLData!E$1:E$9983,MATCH($A482,ESLData!$B$1:$B$9983,0))</f>
        <v>1107</v>
      </c>
      <c r="D482" s="542">
        <f>SUM(C373:C482)</f>
        <v>66384.109999999986</v>
      </c>
      <c r="E482" s="541">
        <f>HLOOKUP("start",ESLData!F$1:F$9983,MATCH($A482,ESLData!$B$1:$B$9983,0))</f>
        <v>2500</v>
      </c>
      <c r="F482" s="542">
        <f>SUM(E373:E482)</f>
        <v>109770</v>
      </c>
      <c r="G482" s="541">
        <f>HLOOKUP("start",ESLData!H$1:H$9983,MATCH($A482,ESLData!$B$1:$B$9983,0))</f>
        <v>3406.64</v>
      </c>
      <c r="H482" s="542">
        <f>SUM(G373:G482)</f>
        <v>106856.15999999999</v>
      </c>
    </row>
    <row r="483" spans="1:8" x14ac:dyDescent="0.2">
      <c r="A483" s="538" t="s">
        <v>907</v>
      </c>
      <c r="C483" s="541"/>
      <c r="E483" s="541"/>
      <c r="G483" s="541"/>
    </row>
    <row r="484" spans="1:8" x14ac:dyDescent="0.2">
      <c r="A484" s="540">
        <v>35125</v>
      </c>
      <c r="C484" s="541">
        <f>HLOOKUP("start",ESLData!E$1:E$9983,MATCH($A484,ESLData!$B$1:$B$9983,0))</f>
        <v>1166.95</v>
      </c>
      <c r="E484" s="541">
        <f>HLOOKUP("start",ESLData!F$1:F$9983,MATCH($A484,ESLData!$B$1:$B$9983,0))</f>
        <v>2500</v>
      </c>
      <c r="G484" s="541">
        <f>HLOOKUP("start",ESLData!H$1:H$9983,MATCH($A484,ESLData!$B$1:$B$9983,0))</f>
        <v>1391.3</v>
      </c>
    </row>
    <row r="485" spans="1:8" x14ac:dyDescent="0.2">
      <c r="A485" s="540">
        <v>35320</v>
      </c>
      <c r="C485" s="541">
        <f>HLOOKUP("start",ESLData!E$1:E$9983,MATCH($A485,ESLData!$B$1:$B$9983,0))</f>
        <v>1847.82</v>
      </c>
      <c r="E485" s="541">
        <f>HLOOKUP("start",ESLData!F$1:F$9983,MATCH($A485,ESLData!$B$1:$B$9983,0))</f>
        <v>3500</v>
      </c>
      <c r="G485" s="541">
        <f>HLOOKUP("start",ESLData!H$1:H$9983,MATCH($A485,ESLData!$B$1:$B$9983,0))</f>
        <v>2578</v>
      </c>
    </row>
    <row r="486" spans="1:8" x14ac:dyDescent="0.2">
      <c r="A486" s="540">
        <v>35620</v>
      </c>
      <c r="C486" s="541">
        <f>HLOOKUP("start",ESLData!E$1:E$9983,MATCH($A486,ESLData!$B$1:$B$9983,0))</f>
        <v>1000</v>
      </c>
      <c r="E486" s="541">
        <f>HLOOKUP("start",ESLData!F$1:F$9983,MATCH($A486,ESLData!$B$1:$B$9983,0))</f>
        <v>1500</v>
      </c>
      <c r="G486" s="541">
        <f>HLOOKUP("start",ESLData!H$1:H$9983,MATCH($A486,ESLData!$B$1:$B$9983,0))</f>
        <v>1172.17</v>
      </c>
    </row>
    <row r="487" spans="1:8" x14ac:dyDescent="0.2">
      <c r="A487" s="540">
        <v>39005</v>
      </c>
      <c r="C487" s="541">
        <f>HLOOKUP("start",ESLData!E$1:E$9983,MATCH($A487,ESLData!$B$1:$B$9983,0))</f>
        <v>2113.65</v>
      </c>
      <c r="E487" s="541">
        <f>HLOOKUP("start",ESLData!F$1:F$9983,MATCH($A487,ESLData!$B$1:$B$9983,0))</f>
        <v>3500</v>
      </c>
      <c r="G487" s="541">
        <f>HLOOKUP("start",ESLData!H$1:H$9983,MATCH($A487,ESLData!$B$1:$B$9983,0))</f>
        <v>1047.24</v>
      </c>
    </row>
    <row r="488" spans="1:8" x14ac:dyDescent="0.2">
      <c r="A488" s="540">
        <v>39055</v>
      </c>
      <c r="C488" s="541">
        <f>HLOOKUP("start",ESLData!E$1:E$9983,MATCH($A488,ESLData!$B$1:$B$9983,0))</f>
        <v>9120.5499999999993</v>
      </c>
      <c r="E488" s="541">
        <f>HLOOKUP("start",ESLData!F$1:F$9983,MATCH($A488,ESLData!$B$1:$B$9983,0))</f>
        <v>15000</v>
      </c>
      <c r="G488" s="541">
        <f>HLOOKUP("start",ESLData!H$1:H$9983,MATCH($A488,ESLData!$B$1:$B$9983,0))</f>
        <v>15516.6</v>
      </c>
    </row>
    <row r="489" spans="1:8" x14ac:dyDescent="0.2">
      <c r="A489" s="540">
        <v>39105</v>
      </c>
      <c r="C489" s="541">
        <f>HLOOKUP("start",ESLData!E$1:E$9983,MATCH($A489,ESLData!$B$1:$B$9983,0))</f>
        <v>400.17</v>
      </c>
      <c r="E489" s="541">
        <f>HLOOKUP("start",ESLData!F$1:F$9983,MATCH($A489,ESLData!$B$1:$B$9983,0))</f>
        <v>3200</v>
      </c>
      <c r="G489" s="541">
        <f>HLOOKUP("start",ESLData!H$1:H$9983,MATCH($A489,ESLData!$B$1:$B$9983,0))</f>
        <v>2574.08</v>
      </c>
    </row>
    <row r="490" spans="1:8" x14ac:dyDescent="0.2">
      <c r="A490" s="540">
        <v>39155</v>
      </c>
      <c r="C490" s="541">
        <f>HLOOKUP("start",ESLData!E$1:E$9983,MATCH($A490,ESLData!$B$1:$B$9983,0))</f>
        <v>1683.42</v>
      </c>
      <c r="E490" s="541">
        <f>HLOOKUP("start",ESLData!F$1:F$9983,MATCH($A490,ESLData!$B$1:$B$9983,0))</f>
        <v>8500</v>
      </c>
      <c r="G490" s="541">
        <f>HLOOKUP("start",ESLData!H$1:H$9983,MATCH($A490,ESLData!$B$1:$B$9983,0))</f>
        <v>6826.33</v>
      </c>
    </row>
    <row r="491" spans="1:8" x14ac:dyDescent="0.2">
      <c r="A491" s="540">
        <v>39205</v>
      </c>
      <c r="C491" s="541">
        <f>HLOOKUP("start",ESLData!E$1:E$9983,MATCH($A491,ESLData!$B$1:$B$9983,0))</f>
        <v>2173.91</v>
      </c>
      <c r="E491" s="541">
        <f>HLOOKUP("start",ESLData!F$1:F$9983,MATCH($A491,ESLData!$B$1:$B$9983,0))</f>
        <v>2200</v>
      </c>
      <c r="G491" s="541">
        <f>HLOOKUP("start",ESLData!H$1:H$9983,MATCH($A491,ESLData!$B$1:$B$9983,0))</f>
        <v>2173.91</v>
      </c>
    </row>
    <row r="492" spans="1:8" x14ac:dyDescent="0.2">
      <c r="A492" s="540">
        <v>39255</v>
      </c>
      <c r="C492" s="541">
        <f>HLOOKUP("start",ESLData!E$1:E$9983,MATCH($A492,ESLData!$B$1:$B$9983,0))</f>
        <v>4067.65</v>
      </c>
      <c r="E492" s="541">
        <f>HLOOKUP("start",ESLData!F$1:F$9983,MATCH($A492,ESLData!$B$1:$B$9983,0))</f>
        <v>5200</v>
      </c>
      <c r="G492" s="541">
        <f>HLOOKUP("start",ESLData!H$1:H$9983,MATCH($A492,ESLData!$B$1:$B$9983,0))</f>
        <v>4542.3900000000003</v>
      </c>
    </row>
    <row r="493" spans="1:8" x14ac:dyDescent="0.2">
      <c r="A493" s="540">
        <v>39305</v>
      </c>
      <c r="C493" s="541">
        <f>HLOOKUP("start",ESLData!E$1:E$9983,MATCH($A493,ESLData!$B$1:$B$9983,0))</f>
        <v>12310.44</v>
      </c>
      <c r="E493" s="541">
        <f>HLOOKUP("start",ESLData!F$1:F$9983,MATCH($A493,ESLData!$B$1:$B$9983,0))</f>
        <v>4200</v>
      </c>
      <c r="G493" s="541">
        <f>HLOOKUP("start",ESLData!H$1:H$9983,MATCH($A493,ESLData!$B$1:$B$9983,0))</f>
        <v>3984.5</v>
      </c>
    </row>
    <row r="494" spans="1:8" x14ac:dyDescent="0.2">
      <c r="A494" s="540">
        <v>39355</v>
      </c>
      <c r="C494" s="541">
        <f>HLOOKUP("start",ESLData!E$1:E$9983,MATCH($A494,ESLData!$B$1:$B$9983,0))</f>
        <v>1600.57</v>
      </c>
      <c r="E494" s="541">
        <f>HLOOKUP("start",ESLData!F$1:F$9983,MATCH($A494,ESLData!$B$1:$B$9983,0))</f>
        <v>2650</v>
      </c>
      <c r="G494" s="541">
        <f>HLOOKUP("start",ESLData!H$1:H$9983,MATCH($A494,ESLData!$B$1:$B$9983,0))</f>
        <v>1732.94</v>
      </c>
    </row>
    <row r="495" spans="1:8" x14ac:dyDescent="0.2">
      <c r="A495" s="540">
        <v>39420</v>
      </c>
      <c r="C495" s="541">
        <f>HLOOKUP("start",ESLData!E$1:E$9983,MATCH($A495,ESLData!$B$1:$B$9983,0))</f>
        <v>4182.79</v>
      </c>
      <c r="E495" s="541">
        <f>HLOOKUP("start",ESLData!F$1:F$9983,MATCH($A495,ESLData!$B$1:$B$9983,0))</f>
        <v>4359</v>
      </c>
      <c r="G495" s="541">
        <f>HLOOKUP("start",ESLData!H$1:H$9983,MATCH($A495,ESLData!$B$1:$B$9983,0))</f>
        <v>2173.92</v>
      </c>
    </row>
    <row r="496" spans="1:8" x14ac:dyDescent="0.2">
      <c r="A496" s="540">
        <v>62150</v>
      </c>
      <c r="C496" s="541">
        <f>HLOOKUP("start",ESLData!E$1:E$9983,MATCH($A496,ESLData!$B$1:$B$9983,0))</f>
        <v>0</v>
      </c>
      <c r="E496" s="541">
        <f>HLOOKUP("start",ESLData!F$1:F$9983,MATCH($A496,ESLData!$B$1:$B$9983,0))</f>
        <v>0</v>
      </c>
      <c r="G496" s="541">
        <f>HLOOKUP("start",ESLData!H$1:H$9983,MATCH($A496,ESLData!$B$1:$B$9983,0))</f>
        <v>0</v>
      </c>
    </row>
    <row r="497" spans="1:8" x14ac:dyDescent="0.2">
      <c r="A497" s="540">
        <v>63150</v>
      </c>
      <c r="C497" s="541">
        <f>HLOOKUP("start",ESLData!E$1:E$9983,MATCH($A497,ESLData!$B$1:$B$9983,0))</f>
        <v>1200</v>
      </c>
      <c r="D497" s="542">
        <f>SUM(C484:C497)</f>
        <v>42867.92</v>
      </c>
      <c r="E497" s="541">
        <f>HLOOKUP("start",ESLData!F$1:F$9983,MATCH($A497,ESLData!$B$1:$B$9983,0))</f>
        <v>1350</v>
      </c>
      <c r="F497" s="542">
        <f>SUM(E484:E497)</f>
        <v>57659</v>
      </c>
      <c r="G497" s="541">
        <f>HLOOKUP("start",ESLData!H$1:H$9983,MATCH($A497,ESLData!$B$1:$B$9983,0))</f>
        <v>1043.48</v>
      </c>
      <c r="H497" s="542">
        <f>SUM(G484:G497)</f>
        <v>46756.860000000008</v>
      </c>
    </row>
    <row r="498" spans="1:8" x14ac:dyDescent="0.2">
      <c r="A498" s="538" t="s">
        <v>608</v>
      </c>
      <c r="C498" s="541"/>
      <c r="E498" s="541"/>
      <c r="G498" s="541"/>
    </row>
    <row r="499" spans="1:8" x14ac:dyDescent="0.2">
      <c r="A499" s="540">
        <v>35200</v>
      </c>
      <c r="C499" s="541">
        <f>HLOOKUP("start",ESLData!E$1:E$9983,MATCH($A499,ESLData!$B$1:$B$9983,0))</f>
        <v>18475.41</v>
      </c>
      <c r="E499" s="541">
        <f>HLOOKUP("start",ESLData!F$1:F$9983,MATCH($A499,ESLData!$B$1:$B$9983,0))</f>
        <v>21396</v>
      </c>
      <c r="G499" s="541">
        <f>HLOOKUP("start",ESLData!H$1:H$9983,MATCH($A499,ESLData!$B$1:$B$9983,0))</f>
        <v>17914.72</v>
      </c>
    </row>
    <row r="500" spans="1:8" x14ac:dyDescent="0.2">
      <c r="A500" s="540">
        <v>35201</v>
      </c>
      <c r="C500" s="541">
        <f>HLOOKUP("start",ESLData!E$1:E$9983,MATCH($A500,ESLData!$B$1:$B$9983,0))</f>
        <v>0</v>
      </c>
      <c r="E500" s="541">
        <f>HLOOKUP("start",ESLData!F$1:F$9983,MATCH($A500,ESLData!$B$1:$B$9983,0))</f>
        <v>0</v>
      </c>
      <c r="G500" s="541">
        <f>HLOOKUP("start",ESLData!H$1:H$9983,MATCH($A500,ESLData!$B$1:$B$9983,0))</f>
        <v>0</v>
      </c>
    </row>
    <row r="501" spans="1:8" x14ac:dyDescent="0.2">
      <c r="A501" s="540">
        <v>35205</v>
      </c>
      <c r="C501" s="541">
        <f>HLOOKUP("start",ESLData!E$1:E$9983,MATCH($A501,ESLData!$B$1:$B$9983,0))</f>
        <v>0</v>
      </c>
      <c r="E501" s="541">
        <f>HLOOKUP("start",ESLData!F$1:F$9983,MATCH($A501,ESLData!$B$1:$B$9983,0))</f>
        <v>0</v>
      </c>
      <c r="G501" s="541">
        <f>HLOOKUP("start",ESLData!H$1:H$9983,MATCH($A501,ESLData!$B$1:$B$9983,0))</f>
        <v>0</v>
      </c>
    </row>
    <row r="502" spans="1:8" x14ac:dyDescent="0.2">
      <c r="A502" s="540">
        <v>35210</v>
      </c>
      <c r="C502" s="541">
        <f>HLOOKUP("start",ESLData!E$1:E$9983,MATCH($A502,ESLData!$B$1:$B$9983,0))</f>
        <v>0</v>
      </c>
      <c r="E502" s="541">
        <f>HLOOKUP("start",ESLData!F$1:F$9983,MATCH($A502,ESLData!$B$1:$B$9983,0))</f>
        <v>0</v>
      </c>
      <c r="G502" s="541">
        <f>HLOOKUP("start",ESLData!H$1:H$9983,MATCH($A502,ESLData!$B$1:$B$9983,0))</f>
        <v>0</v>
      </c>
    </row>
    <row r="503" spans="1:8" x14ac:dyDescent="0.2">
      <c r="A503" s="540">
        <v>35290</v>
      </c>
      <c r="C503" s="541">
        <f>HLOOKUP("start",ESLData!E$1:E$9983,MATCH($A503,ESLData!$B$1:$B$9983,0))</f>
        <v>0</v>
      </c>
      <c r="E503" s="541">
        <f>HLOOKUP("start",ESLData!F$1:F$9983,MATCH($A503,ESLData!$B$1:$B$9983,0))</f>
        <v>0</v>
      </c>
      <c r="G503" s="541">
        <f>HLOOKUP("start",ESLData!H$1:H$9983,MATCH($A503,ESLData!$B$1:$B$9983,0))</f>
        <v>0</v>
      </c>
    </row>
    <row r="504" spans="1:8" x14ac:dyDescent="0.2">
      <c r="A504" s="540">
        <v>35291</v>
      </c>
      <c r="C504" s="541">
        <f>HLOOKUP("start",ESLData!E$1:E$9983,MATCH($A504,ESLData!$B$1:$B$9983,0))</f>
        <v>0</v>
      </c>
      <c r="E504" s="541">
        <f>HLOOKUP("start",ESLData!F$1:F$9983,MATCH($A504,ESLData!$B$1:$B$9983,0))</f>
        <v>0</v>
      </c>
      <c r="G504" s="541">
        <f>HLOOKUP("start",ESLData!H$1:H$9983,MATCH($A504,ESLData!$B$1:$B$9983,0))</f>
        <v>0</v>
      </c>
    </row>
    <row r="505" spans="1:8" x14ac:dyDescent="0.2">
      <c r="A505" s="540">
        <v>35292</v>
      </c>
      <c r="C505" s="541">
        <f>HLOOKUP("start",ESLData!E$1:E$9983,MATCH($A505,ESLData!$B$1:$B$9983,0))</f>
        <v>0</v>
      </c>
      <c r="E505" s="541">
        <f>HLOOKUP("start",ESLData!F$1:F$9983,MATCH($A505,ESLData!$B$1:$B$9983,0))</f>
        <v>0</v>
      </c>
      <c r="G505" s="541">
        <f>HLOOKUP("start",ESLData!H$1:H$9983,MATCH($A505,ESLData!$B$1:$B$9983,0))</f>
        <v>0</v>
      </c>
    </row>
    <row r="506" spans="1:8" x14ac:dyDescent="0.2">
      <c r="A506" s="540">
        <v>62500</v>
      </c>
      <c r="C506" s="541">
        <f>HLOOKUP("start",ESLData!E$1:E$9983,MATCH($A506,ESLData!$B$1:$B$9983,0))</f>
        <v>64428.639999999999</v>
      </c>
      <c r="E506" s="541">
        <f>HLOOKUP("start",ESLData!F$1:F$9983,MATCH($A506,ESLData!$B$1:$B$9983,0))</f>
        <v>80557</v>
      </c>
      <c r="G506" s="541">
        <f>HLOOKUP("start",ESLData!H$1:H$9983,MATCH($A506,ESLData!$B$1:$B$9983,0))</f>
        <v>68876.149999999994</v>
      </c>
    </row>
    <row r="507" spans="1:8" x14ac:dyDescent="0.2">
      <c r="A507" s="540">
        <v>62550</v>
      </c>
      <c r="C507" s="541">
        <f>HLOOKUP("start",ESLData!E$1:E$9983,MATCH($A507,ESLData!$B$1:$B$9983,0))</f>
        <v>195.65</v>
      </c>
      <c r="E507" s="541">
        <f>HLOOKUP("start",ESLData!F$1:F$9983,MATCH($A507,ESLData!$B$1:$B$9983,0))</f>
        <v>500</v>
      </c>
      <c r="G507" s="541">
        <f>HLOOKUP("start",ESLData!H$1:H$9983,MATCH($A507,ESLData!$B$1:$B$9983,0))</f>
        <v>1025.72</v>
      </c>
    </row>
    <row r="508" spans="1:8" x14ac:dyDescent="0.2">
      <c r="A508" s="540">
        <v>63500</v>
      </c>
      <c r="C508" s="541">
        <f>HLOOKUP("start",ESLData!E$1:E$9983,MATCH($A508,ESLData!$B$1:$B$9983,0))</f>
        <v>17677.189999999999</v>
      </c>
      <c r="E508" s="541">
        <f>HLOOKUP("start",ESLData!F$1:F$9983,MATCH($A508,ESLData!$B$1:$B$9983,0))</f>
        <v>19047</v>
      </c>
      <c r="G508" s="541">
        <f>HLOOKUP("start",ESLData!H$1:H$9983,MATCH($A508,ESLData!$B$1:$B$9983,0))</f>
        <v>8430.17</v>
      </c>
    </row>
    <row r="509" spans="1:8" x14ac:dyDescent="0.2">
      <c r="A509" s="540">
        <v>63550</v>
      </c>
      <c r="C509" s="541">
        <f>HLOOKUP("start",ESLData!E$1:E$9983,MATCH($A509,ESLData!$B$1:$B$9983,0))</f>
        <v>195.65</v>
      </c>
      <c r="E509" s="541">
        <f>HLOOKUP("start",ESLData!F$1:F$9983,MATCH($A509,ESLData!$B$1:$B$9983,0))</f>
        <v>500</v>
      </c>
      <c r="G509" s="541">
        <f>HLOOKUP("start",ESLData!H$1:H$9983,MATCH($A509,ESLData!$B$1:$B$9983,0))</f>
        <v>610.17999999999995</v>
      </c>
    </row>
    <row r="510" spans="1:8" x14ac:dyDescent="0.2">
      <c r="A510" s="540">
        <v>35400</v>
      </c>
      <c r="C510" s="541">
        <f>HLOOKUP("start",ESLData!E$1:E$9983,MATCH($A510,ESLData!$B$1:$B$9983,0))</f>
        <v>18300.14</v>
      </c>
      <c r="E510" s="541">
        <f>HLOOKUP("start",ESLData!F$1:F$9983,MATCH($A510,ESLData!$B$1:$B$9983,0))</f>
        <v>26960</v>
      </c>
      <c r="G510" s="541">
        <f>HLOOKUP("start",ESLData!H$1:H$9983,MATCH($A510,ESLData!$B$1:$B$9983,0))</f>
        <v>15637.03</v>
      </c>
    </row>
    <row r="511" spans="1:8" x14ac:dyDescent="0.2">
      <c r="A511" s="540">
        <v>35401</v>
      </c>
      <c r="C511" s="541">
        <f>HLOOKUP("start",ESLData!E$1:E$9983,MATCH($A511,ESLData!$B$1:$B$9983,0))</f>
        <v>0</v>
      </c>
      <c r="E511" s="541">
        <f>HLOOKUP("start",ESLData!F$1:F$9983,MATCH($A511,ESLData!$B$1:$B$9983,0))</f>
        <v>0</v>
      </c>
      <c r="G511" s="541">
        <f>HLOOKUP("start",ESLData!H$1:H$9983,MATCH($A511,ESLData!$B$1:$B$9983,0))</f>
        <v>0</v>
      </c>
    </row>
    <row r="512" spans="1:8" x14ac:dyDescent="0.2">
      <c r="A512" s="540">
        <v>35700</v>
      </c>
      <c r="C512" s="541">
        <f>HLOOKUP("start",ESLData!E$1:E$9983,MATCH($A512,ESLData!$B$1:$B$9983,0))</f>
        <v>21151.13</v>
      </c>
      <c r="E512" s="541">
        <f>HLOOKUP("start",ESLData!F$1:F$9983,MATCH($A512,ESLData!$B$1:$B$9983,0))</f>
        <v>22720</v>
      </c>
      <c r="G512" s="541">
        <f>HLOOKUP("start",ESLData!H$1:H$9983,MATCH($A512,ESLData!$B$1:$B$9983,0))</f>
        <v>20061.87</v>
      </c>
    </row>
    <row r="513" spans="1:7" x14ac:dyDescent="0.2">
      <c r="A513" s="540">
        <v>35702</v>
      </c>
      <c r="C513" s="541">
        <f>HLOOKUP("start",ESLData!E$1:E$9983,MATCH($A513,ESLData!$B$1:$B$9983,0))</f>
        <v>0</v>
      </c>
      <c r="E513" s="541">
        <f>HLOOKUP("start",ESLData!F$1:F$9983,MATCH($A513,ESLData!$B$1:$B$9983,0))</f>
        <v>0</v>
      </c>
      <c r="G513" s="541">
        <f>HLOOKUP("start",ESLData!H$1:H$9983,MATCH($A513,ESLData!$B$1:$B$9983,0))</f>
        <v>26.09</v>
      </c>
    </row>
    <row r="514" spans="1:7" x14ac:dyDescent="0.2">
      <c r="A514" s="540">
        <v>39030</v>
      </c>
      <c r="C514" s="541">
        <f>HLOOKUP("start",ESLData!E$1:E$9983,MATCH($A514,ESLData!$B$1:$B$9983,0))</f>
        <v>47496.17</v>
      </c>
      <c r="E514" s="541">
        <f>HLOOKUP("start",ESLData!F$1:F$9983,MATCH($A514,ESLData!$B$1:$B$9983,0))</f>
        <v>49690</v>
      </c>
      <c r="G514" s="541">
        <f>HLOOKUP("start",ESLData!H$1:H$9983,MATCH($A514,ESLData!$B$1:$B$9983,0))</f>
        <v>33594.769999999997</v>
      </c>
    </row>
    <row r="515" spans="1:7" x14ac:dyDescent="0.2">
      <c r="A515" s="540">
        <v>38035</v>
      </c>
      <c r="C515" s="541">
        <f>HLOOKUP("start",ESLData!E$1:E$9983,MATCH($A515,ESLData!$B$1:$B$9983,0))</f>
        <v>0</v>
      </c>
      <c r="E515" s="541">
        <f>HLOOKUP("start",ESLData!F$1:F$9983,MATCH($A515,ESLData!$B$1:$B$9983,0))</f>
        <v>0</v>
      </c>
      <c r="G515" s="541">
        <f>HLOOKUP("start",ESLData!H$1:H$9983,MATCH($A515,ESLData!$B$1:$B$9983,0))</f>
        <v>0</v>
      </c>
    </row>
    <row r="516" spans="1:7" x14ac:dyDescent="0.2">
      <c r="A516" s="540">
        <v>39080</v>
      </c>
      <c r="C516" s="541">
        <f>HLOOKUP("start",ESLData!E$1:E$9983,MATCH($A516,ESLData!$B$1:$B$9983,0))</f>
        <v>78705.56</v>
      </c>
      <c r="E516" s="541">
        <f>HLOOKUP("start",ESLData!F$1:F$9983,MATCH($A516,ESLData!$B$1:$B$9983,0))</f>
        <v>95857</v>
      </c>
      <c r="G516" s="541">
        <f>HLOOKUP("start",ESLData!H$1:H$9983,MATCH($A516,ESLData!$B$1:$B$9983,0))</f>
        <v>89847.26</v>
      </c>
    </row>
    <row r="517" spans="1:7" x14ac:dyDescent="0.2">
      <c r="A517" s="540">
        <v>39085</v>
      </c>
      <c r="C517" s="541">
        <f>HLOOKUP("start",ESLData!E$1:E$9983,MATCH($A517,ESLData!$B$1:$B$9983,0))</f>
        <v>0</v>
      </c>
      <c r="E517" s="541">
        <f>HLOOKUP("start",ESLData!F$1:F$9983,MATCH($A517,ESLData!$B$1:$B$9983,0))</f>
        <v>0</v>
      </c>
      <c r="G517" s="541">
        <f>HLOOKUP("start",ESLData!H$1:H$9983,MATCH($A517,ESLData!$B$1:$B$9983,0))</f>
        <v>0</v>
      </c>
    </row>
    <row r="518" spans="1:7" x14ac:dyDescent="0.2">
      <c r="A518" s="540">
        <v>39086</v>
      </c>
      <c r="C518" s="541">
        <f>HLOOKUP("start",ESLData!E$1:E$9983,MATCH($A518,ESLData!$B$1:$B$9983,0))</f>
        <v>0</v>
      </c>
      <c r="E518" s="541">
        <f>HLOOKUP("start",ESLData!F$1:F$9983,MATCH($A518,ESLData!$B$1:$B$9983,0))</f>
        <v>0</v>
      </c>
      <c r="G518" s="541">
        <f>HLOOKUP("start",ESLData!H$1:H$9983,MATCH($A518,ESLData!$B$1:$B$9983,0))</f>
        <v>0</v>
      </c>
    </row>
    <row r="519" spans="1:7" x14ac:dyDescent="0.2">
      <c r="A519" s="540">
        <v>39130</v>
      </c>
      <c r="C519" s="541">
        <f>HLOOKUP("start",ESLData!E$1:E$9983,MATCH($A519,ESLData!$B$1:$B$9983,0))</f>
        <v>16758.939999999999</v>
      </c>
      <c r="E519" s="541">
        <f>HLOOKUP("start",ESLData!F$1:F$9983,MATCH($A519,ESLData!$B$1:$B$9983,0))</f>
        <v>18950</v>
      </c>
      <c r="G519" s="541">
        <f>HLOOKUP("start",ESLData!H$1:H$9983,MATCH($A519,ESLData!$B$1:$B$9983,0))</f>
        <v>15683.89</v>
      </c>
    </row>
    <row r="520" spans="1:7" x14ac:dyDescent="0.2">
      <c r="A520" s="540">
        <v>39135</v>
      </c>
      <c r="C520" s="541">
        <f>HLOOKUP("start",ESLData!E$1:E$9983,MATCH($A520,ESLData!$B$1:$B$9983,0))</f>
        <v>0</v>
      </c>
      <c r="E520" s="541">
        <f>HLOOKUP("start",ESLData!F$1:F$9983,MATCH($A520,ESLData!$B$1:$B$9983,0))</f>
        <v>0</v>
      </c>
      <c r="G520" s="541">
        <f>HLOOKUP("start",ESLData!H$1:H$9983,MATCH($A520,ESLData!$B$1:$B$9983,0))</f>
        <v>0</v>
      </c>
    </row>
    <row r="521" spans="1:7" x14ac:dyDescent="0.2">
      <c r="A521" s="540">
        <v>39180</v>
      </c>
      <c r="C521" s="541">
        <f>HLOOKUP("start",ESLData!E$1:E$9983,MATCH($A521,ESLData!$B$1:$B$9983,0))</f>
        <v>54289.7</v>
      </c>
      <c r="E521" s="541">
        <f>HLOOKUP("start",ESLData!F$1:F$9983,MATCH($A521,ESLData!$B$1:$B$9983,0))</f>
        <v>52573</v>
      </c>
      <c r="G521" s="541">
        <f>HLOOKUP("start",ESLData!H$1:H$9983,MATCH($A521,ESLData!$B$1:$B$9983,0))</f>
        <v>51804.78</v>
      </c>
    </row>
    <row r="522" spans="1:7" x14ac:dyDescent="0.2">
      <c r="A522" s="540">
        <v>39185</v>
      </c>
      <c r="C522" s="541">
        <f>HLOOKUP("start",ESLData!E$1:E$9983,MATCH($A522,ESLData!$B$1:$B$9983,0))</f>
        <v>0</v>
      </c>
      <c r="E522" s="541">
        <f>HLOOKUP("start",ESLData!F$1:F$9983,MATCH($A522,ESLData!$B$1:$B$9983,0))</f>
        <v>0</v>
      </c>
      <c r="G522" s="541">
        <f>HLOOKUP("start",ESLData!H$1:H$9983,MATCH($A522,ESLData!$B$1:$B$9983,0))</f>
        <v>0</v>
      </c>
    </row>
    <row r="523" spans="1:7" x14ac:dyDescent="0.2">
      <c r="A523" s="540">
        <v>39230</v>
      </c>
      <c r="C523" s="541">
        <f>HLOOKUP("start",ESLData!E$1:E$9983,MATCH($A523,ESLData!$B$1:$B$9983,0))</f>
        <v>25621.97</v>
      </c>
      <c r="E523" s="541">
        <f>HLOOKUP("start",ESLData!F$1:F$9983,MATCH($A523,ESLData!$B$1:$B$9983,0))</f>
        <v>30395</v>
      </c>
      <c r="G523" s="541">
        <f>HLOOKUP("start",ESLData!H$1:H$9983,MATCH($A523,ESLData!$B$1:$B$9983,0))</f>
        <v>27267.16</v>
      </c>
    </row>
    <row r="524" spans="1:7" x14ac:dyDescent="0.2">
      <c r="A524" s="540">
        <v>39235</v>
      </c>
      <c r="C524" s="541">
        <f>HLOOKUP("start",ESLData!E$1:E$9983,MATCH($A524,ESLData!$B$1:$B$9983,0))</f>
        <v>0</v>
      </c>
      <c r="E524" s="541">
        <f>HLOOKUP("start",ESLData!F$1:F$9983,MATCH($A524,ESLData!$B$1:$B$9983,0))</f>
        <v>0</v>
      </c>
      <c r="G524" s="541">
        <f>HLOOKUP("start",ESLData!H$1:H$9983,MATCH($A524,ESLData!$B$1:$B$9983,0))</f>
        <v>0</v>
      </c>
    </row>
    <row r="525" spans="1:7" x14ac:dyDescent="0.2">
      <c r="A525" s="540">
        <v>39280</v>
      </c>
      <c r="C525" s="541">
        <f>HLOOKUP("start",ESLData!E$1:E$9983,MATCH($A525,ESLData!$B$1:$B$9983,0))</f>
        <v>42618.83</v>
      </c>
      <c r="E525" s="541">
        <f>HLOOKUP("start",ESLData!F$1:F$9983,MATCH($A525,ESLData!$B$1:$B$9983,0))</f>
        <v>44777</v>
      </c>
      <c r="G525" s="541">
        <f>HLOOKUP("start",ESLData!H$1:H$9983,MATCH($A525,ESLData!$B$1:$B$9983,0))</f>
        <v>41481.620000000003</v>
      </c>
    </row>
    <row r="526" spans="1:7" x14ac:dyDescent="0.2">
      <c r="A526" s="540">
        <v>39285</v>
      </c>
      <c r="C526" s="541">
        <f>HLOOKUP("start",ESLData!E$1:E$9983,MATCH($A526,ESLData!$B$1:$B$9983,0))</f>
        <v>0</v>
      </c>
      <c r="E526" s="541">
        <f>HLOOKUP("start",ESLData!F$1:F$9983,MATCH($A526,ESLData!$B$1:$B$9983,0))</f>
        <v>0</v>
      </c>
      <c r="G526" s="541">
        <f>HLOOKUP("start",ESLData!H$1:H$9983,MATCH($A526,ESLData!$B$1:$B$9983,0))</f>
        <v>0</v>
      </c>
    </row>
    <row r="527" spans="1:7" x14ac:dyDescent="0.2">
      <c r="A527" s="540">
        <v>39330</v>
      </c>
      <c r="C527" s="541">
        <f>HLOOKUP("start",ESLData!E$1:E$9983,MATCH($A527,ESLData!$B$1:$B$9983,0))</f>
        <v>32212.93</v>
      </c>
      <c r="E527" s="541">
        <f>HLOOKUP("start",ESLData!F$1:F$9983,MATCH($A527,ESLData!$B$1:$B$9983,0))</f>
        <v>35530</v>
      </c>
      <c r="G527" s="541">
        <f>HLOOKUP("start",ESLData!H$1:H$9983,MATCH($A527,ESLData!$B$1:$B$9983,0))</f>
        <v>28170.080000000002</v>
      </c>
    </row>
    <row r="528" spans="1:7" x14ac:dyDescent="0.2">
      <c r="A528" s="540">
        <v>39335</v>
      </c>
      <c r="C528" s="541">
        <f>HLOOKUP("start",ESLData!E$1:E$9983,MATCH($A528,ESLData!$B$1:$B$9983,0))</f>
        <v>0</v>
      </c>
      <c r="E528" s="541">
        <f>HLOOKUP("start",ESLData!F$1:F$9983,MATCH($A528,ESLData!$B$1:$B$9983,0))</f>
        <v>0</v>
      </c>
      <c r="G528" s="541">
        <f>HLOOKUP("start",ESLData!H$1:H$9983,MATCH($A528,ESLData!$B$1:$B$9983,0))</f>
        <v>0</v>
      </c>
    </row>
    <row r="529" spans="1:9" x14ac:dyDescent="0.2">
      <c r="A529" s="540">
        <v>39336</v>
      </c>
      <c r="C529" s="541">
        <f>HLOOKUP("start",ESLData!E$1:E$9983,MATCH($A529,ESLData!$B$1:$B$9983,0))</f>
        <v>0</v>
      </c>
      <c r="E529" s="541">
        <f>HLOOKUP("start",ESLData!F$1:F$9983,MATCH($A529,ESLData!$B$1:$B$9983,0))</f>
        <v>0</v>
      </c>
      <c r="G529" s="541">
        <f>HLOOKUP("start",ESLData!H$1:H$9983,MATCH($A529,ESLData!$B$1:$B$9983,0))</f>
        <v>0</v>
      </c>
    </row>
    <row r="530" spans="1:9" x14ac:dyDescent="0.2">
      <c r="A530" s="540">
        <v>39380</v>
      </c>
      <c r="C530" s="541">
        <f>HLOOKUP("start",ESLData!E$1:E$9983,MATCH($A530,ESLData!$B$1:$B$9983,0))</f>
        <v>32061.69</v>
      </c>
      <c r="E530" s="541">
        <f>HLOOKUP("start",ESLData!F$1:F$9983,MATCH($A530,ESLData!$B$1:$B$9983,0))</f>
        <v>35921</v>
      </c>
      <c r="G530" s="541">
        <f>HLOOKUP("start",ESLData!H$1:H$9983,MATCH($A530,ESLData!$B$1:$B$9983,0))</f>
        <v>30865.38</v>
      </c>
    </row>
    <row r="531" spans="1:9" x14ac:dyDescent="0.2">
      <c r="A531" s="540">
        <v>39385</v>
      </c>
      <c r="C531" s="541">
        <f>HLOOKUP("start",ESLData!E$1:E$9983,MATCH($A531,ESLData!$B$1:$B$9983,0))</f>
        <v>0</v>
      </c>
      <c r="E531" s="541">
        <f>HLOOKUP("start",ESLData!F$1:F$9983,MATCH($A531,ESLData!$B$1:$B$9983,0))</f>
        <v>0</v>
      </c>
      <c r="G531" s="541">
        <f>HLOOKUP("start",ESLData!H$1:H$9983,MATCH($A531,ESLData!$B$1:$B$9983,0))</f>
        <v>0</v>
      </c>
    </row>
    <row r="532" spans="1:9" s="550" customFormat="1" x14ac:dyDescent="0.2">
      <c r="A532" s="543">
        <v>39386</v>
      </c>
      <c r="C532" s="541">
        <f>HLOOKUP("start",ESLData!E$1:E$9983,MATCH($A532,ESLData!$B$1:$B$9983,0))</f>
        <v>39.130000000000003</v>
      </c>
      <c r="E532" s="541">
        <f>HLOOKUP("start",ESLData!F$1:F$9983,MATCH($A532,ESLData!$B$1:$B$9983,0))</f>
        <v>0</v>
      </c>
      <c r="G532" s="541">
        <f>HLOOKUP("start",ESLData!H$1:H$9983,MATCH($A532,ESLData!$B$1:$B$9983,0))</f>
        <v>0</v>
      </c>
      <c r="I532" s="552"/>
    </row>
    <row r="533" spans="1:9" x14ac:dyDescent="0.2">
      <c r="A533" s="540">
        <v>39500</v>
      </c>
      <c r="C533" s="541">
        <f>HLOOKUP("start",ESLData!E$1:E$9983,MATCH($A533,ESLData!$B$1:$B$9983,0))</f>
        <v>22362.62</v>
      </c>
      <c r="E533" s="541">
        <f>HLOOKUP("start",ESLData!F$1:F$9983,MATCH($A533,ESLData!$B$1:$B$9983,0))</f>
        <v>23220</v>
      </c>
      <c r="G533" s="541">
        <f>HLOOKUP("start",ESLData!H$1:H$9983,MATCH($A533,ESLData!$B$1:$B$9983,0))</f>
        <v>21972.89</v>
      </c>
    </row>
    <row r="534" spans="1:9" x14ac:dyDescent="0.2">
      <c r="A534" s="540">
        <v>39525</v>
      </c>
      <c r="C534" s="541">
        <f>HLOOKUP("start",ESLData!E$1:E$9983,MATCH($A534,ESLData!$B$1:$B$9983,0))</f>
        <v>0</v>
      </c>
      <c r="D534" s="542">
        <f>SUM(C499:C534)</f>
        <v>492591.35000000003</v>
      </c>
      <c r="E534" s="541">
        <f>HLOOKUP("start",ESLData!F$1:F$9983,MATCH($A534,ESLData!$B$1:$B$9983,0))</f>
        <v>0</v>
      </c>
      <c r="F534" s="542">
        <f>SUM(E499:E534)</f>
        <v>558593</v>
      </c>
      <c r="G534" s="541">
        <f>HLOOKUP("start",ESLData!H$1:H$9983,MATCH($A534,ESLData!$B$1:$B$9983,0))</f>
        <v>0</v>
      </c>
      <c r="H534" s="542">
        <f>SUM(G499:G534)</f>
        <v>473269.76000000001</v>
      </c>
    </row>
    <row r="535" spans="1:9" x14ac:dyDescent="0.2">
      <c r="A535" s="538" t="s">
        <v>908</v>
      </c>
      <c r="C535" s="541"/>
      <c r="E535" s="541"/>
      <c r="G535" s="541"/>
    </row>
    <row r="536" spans="1:9" x14ac:dyDescent="0.2">
      <c r="A536" s="540">
        <v>39505</v>
      </c>
      <c r="C536" s="541">
        <f>HLOOKUP("start",ESLData!E$1:E$9983,MATCH($A536,ESLData!$B$1:$B$9983,0))</f>
        <v>80</v>
      </c>
      <c r="E536" s="541">
        <f>HLOOKUP("start",ESLData!F$1:F$9983,MATCH($A536,ESLData!$B$1:$B$9983,0))</f>
        <v>1000</v>
      </c>
      <c r="G536" s="541">
        <f>HLOOKUP("start",ESLData!H$1:H$9983,MATCH($A536,ESLData!$B$1:$B$9983,0))</f>
        <v>758.16</v>
      </c>
    </row>
    <row r="537" spans="1:9" x14ac:dyDescent="0.2">
      <c r="A537" s="540">
        <v>35215</v>
      </c>
      <c r="C537" s="541">
        <f>HLOOKUP("start",ESLData!E$1:E$9983,MATCH($A537,ESLData!$B$1:$B$9983,0))</f>
        <v>626.08000000000004</v>
      </c>
      <c r="E537" s="541">
        <f>HLOOKUP("start",ESLData!F$1:F$9983,MATCH($A537,ESLData!$B$1:$B$9983,0))</f>
        <v>2000</v>
      </c>
      <c r="G537" s="541">
        <f>HLOOKUP("start",ESLData!H$1:H$9983,MATCH($A537,ESLData!$B$1:$B$9983,0))</f>
        <v>955.81</v>
      </c>
    </row>
    <row r="538" spans="1:9" x14ac:dyDescent="0.2">
      <c r="A538" s="540">
        <v>35157</v>
      </c>
      <c r="C538" s="541">
        <f>HLOOKUP("start",ESLData!E$1:E$9983,MATCH($A538,ESLData!$B$1:$B$9983,0))</f>
        <v>200</v>
      </c>
      <c r="E538" s="541">
        <f>HLOOKUP("start",ESLData!F$1:F$9983,MATCH($A538,ESLData!$B$1:$B$9983,0))</f>
        <v>200</v>
      </c>
      <c r="G538" s="541">
        <f>HLOOKUP("start",ESLData!H$1:H$9983,MATCH($A538,ESLData!$B$1:$B$9983,0))</f>
        <v>16.940000000000001</v>
      </c>
    </row>
    <row r="539" spans="1:9" x14ac:dyDescent="0.2">
      <c r="A539" s="540">
        <v>35295</v>
      </c>
      <c r="C539" s="541">
        <f>HLOOKUP("start",ESLData!E$1:E$9983,MATCH($A539,ESLData!$B$1:$B$9983,0))</f>
        <v>0</v>
      </c>
      <c r="E539" s="541">
        <f>HLOOKUP("start",ESLData!F$1:F$9983,MATCH($A539,ESLData!$B$1:$B$9983,0))</f>
        <v>0</v>
      </c>
      <c r="G539" s="541">
        <f>HLOOKUP("start",ESLData!H$1:H$9983,MATCH($A539,ESLData!$B$1:$B$9983,0))</f>
        <v>0</v>
      </c>
    </row>
    <row r="540" spans="1:9" x14ac:dyDescent="0.2">
      <c r="A540" s="540">
        <v>35410</v>
      </c>
      <c r="C540" s="541">
        <f>HLOOKUP("start",ESLData!E$1:E$9983,MATCH($A540,ESLData!$B$1:$B$9983,0))</f>
        <v>201.96</v>
      </c>
      <c r="E540" s="541">
        <f>HLOOKUP("start",ESLData!F$1:F$9983,MATCH($A540,ESLData!$B$1:$B$9983,0))</f>
        <v>1500</v>
      </c>
      <c r="G540" s="541">
        <f>HLOOKUP("start",ESLData!H$1:H$9983,MATCH($A540,ESLData!$B$1:$B$9983,0))</f>
        <v>231.75</v>
      </c>
    </row>
    <row r="541" spans="1:9" x14ac:dyDescent="0.2">
      <c r="A541" s="540">
        <v>35361</v>
      </c>
      <c r="C541" s="541">
        <f>HLOOKUP("start",ESLData!E$1:E$9983,MATCH($A541,ESLData!$B$1:$B$9983,0))</f>
        <v>181.73</v>
      </c>
      <c r="E541" s="541">
        <f>HLOOKUP("start",ESLData!F$1:F$9983,MATCH($A541,ESLData!$B$1:$B$9983,0))</f>
        <v>200</v>
      </c>
      <c r="G541" s="541">
        <f>HLOOKUP("start",ESLData!H$1:H$9983,MATCH($A541,ESLData!$B$1:$B$9983,0))</f>
        <v>0</v>
      </c>
    </row>
    <row r="542" spans="1:9" x14ac:dyDescent="0.2">
      <c r="A542" s="540">
        <v>35665</v>
      </c>
      <c r="C542" s="541">
        <f>HLOOKUP("start",ESLData!E$1:E$9983,MATCH($A542,ESLData!$B$1:$B$9983,0))</f>
        <v>161.84</v>
      </c>
      <c r="E542" s="541">
        <f>HLOOKUP("start",ESLData!F$1:F$9983,MATCH($A542,ESLData!$B$1:$B$9983,0))</f>
        <v>200</v>
      </c>
      <c r="G542" s="541">
        <f>HLOOKUP("start",ESLData!H$1:H$9983,MATCH($A542,ESLData!$B$1:$B$9983,0))</f>
        <v>0</v>
      </c>
    </row>
    <row r="543" spans="1:9" x14ac:dyDescent="0.2">
      <c r="A543" s="540">
        <v>35705</v>
      </c>
      <c r="C543" s="541">
        <f>HLOOKUP("start",ESLData!E$1:E$9983,MATCH($A543,ESLData!$B$1:$B$9983,0))</f>
        <v>392.4</v>
      </c>
      <c r="E543" s="541">
        <f>HLOOKUP("start",ESLData!F$1:F$9983,MATCH($A543,ESLData!$B$1:$B$9983,0))</f>
        <v>1500</v>
      </c>
      <c r="G543" s="541">
        <f>HLOOKUP("start",ESLData!H$1:H$9983,MATCH($A543,ESLData!$B$1:$B$9983,0))</f>
        <v>337</v>
      </c>
    </row>
    <row r="544" spans="1:9" x14ac:dyDescent="0.2">
      <c r="A544" s="540">
        <v>39020</v>
      </c>
      <c r="C544" s="541">
        <f>HLOOKUP("start",ESLData!E$1:E$9983,MATCH($A544,ESLData!$B$1:$B$9983,0))</f>
        <v>0</v>
      </c>
      <c r="E544" s="541">
        <f>HLOOKUP("start",ESLData!F$1:F$9983,MATCH($A544,ESLData!$B$1:$B$9983,0))</f>
        <v>200</v>
      </c>
      <c r="G544" s="541">
        <f>HLOOKUP("start",ESLData!H$1:H$9983,MATCH($A544,ESLData!$B$1:$B$9983,0))</f>
        <v>0</v>
      </c>
    </row>
    <row r="545" spans="1:7" x14ac:dyDescent="0.2">
      <c r="A545" s="540">
        <v>39031</v>
      </c>
      <c r="C545" s="541">
        <f>HLOOKUP("start",ESLData!E$1:E$9983,MATCH($A545,ESLData!$B$1:$B$9983,0))</f>
        <v>1312.03</v>
      </c>
      <c r="E545" s="541">
        <f>HLOOKUP("start",ESLData!F$1:F$9983,MATCH($A545,ESLData!$B$1:$B$9983,0))</f>
        <v>3000</v>
      </c>
      <c r="G545" s="541">
        <f>HLOOKUP("start",ESLData!H$1:H$9983,MATCH($A545,ESLData!$B$1:$B$9983,0))</f>
        <v>1531.76</v>
      </c>
    </row>
    <row r="546" spans="1:7" x14ac:dyDescent="0.2">
      <c r="A546" s="540">
        <v>39064</v>
      </c>
      <c r="C546" s="541">
        <f>HLOOKUP("start",ESLData!E$1:E$9983,MATCH($A546,ESLData!$B$1:$B$9983,0))</f>
        <v>225.38</v>
      </c>
      <c r="E546" s="541">
        <f>HLOOKUP("start",ESLData!F$1:F$9983,MATCH($A546,ESLData!$B$1:$B$9983,0))</f>
        <v>200</v>
      </c>
      <c r="G546" s="541">
        <f>HLOOKUP("start",ESLData!H$1:H$9983,MATCH($A546,ESLData!$B$1:$B$9983,0))</f>
        <v>0</v>
      </c>
    </row>
    <row r="547" spans="1:7" x14ac:dyDescent="0.2">
      <c r="A547" s="540">
        <v>39081</v>
      </c>
      <c r="C547" s="541">
        <f>HLOOKUP("start",ESLData!E$1:E$9983,MATCH($A547,ESLData!$B$1:$B$9983,0))</f>
        <v>3356.19</v>
      </c>
      <c r="E547" s="541">
        <f>HLOOKUP("start",ESLData!F$1:F$9983,MATCH($A547,ESLData!$B$1:$B$9983,0))</f>
        <v>4500</v>
      </c>
      <c r="G547" s="541">
        <f>HLOOKUP("start",ESLData!H$1:H$9983,MATCH($A547,ESLData!$B$1:$B$9983,0))</f>
        <v>2414.5700000000002</v>
      </c>
    </row>
    <row r="548" spans="1:7" x14ac:dyDescent="0.2">
      <c r="A548" s="540">
        <v>39115</v>
      </c>
      <c r="C548" s="541">
        <f>HLOOKUP("start",ESLData!E$1:E$9983,MATCH($A548,ESLData!$B$1:$B$9983,0))</f>
        <v>177.39</v>
      </c>
      <c r="E548" s="541">
        <f>HLOOKUP("start",ESLData!F$1:F$9983,MATCH($A548,ESLData!$B$1:$B$9983,0))</f>
        <v>200</v>
      </c>
      <c r="G548" s="541">
        <f>HLOOKUP("start",ESLData!H$1:H$9983,MATCH($A548,ESLData!$B$1:$B$9983,0))</f>
        <v>203.46</v>
      </c>
    </row>
    <row r="549" spans="1:7" x14ac:dyDescent="0.2">
      <c r="A549" s="540">
        <v>39131</v>
      </c>
      <c r="C549" s="541">
        <f>HLOOKUP("start",ESLData!E$1:E$9983,MATCH($A549,ESLData!$B$1:$B$9983,0))</f>
        <v>647.80999999999995</v>
      </c>
      <c r="E549" s="541">
        <f>HLOOKUP("start",ESLData!F$1:F$9983,MATCH($A549,ESLData!$B$1:$B$9983,0))</f>
        <v>1500</v>
      </c>
      <c r="G549" s="541">
        <f>HLOOKUP("start",ESLData!H$1:H$9983,MATCH($A549,ESLData!$B$1:$B$9983,0))</f>
        <v>503.92</v>
      </c>
    </row>
    <row r="550" spans="1:7" x14ac:dyDescent="0.2">
      <c r="A550" s="540">
        <v>39169</v>
      </c>
      <c r="C550" s="541">
        <f>HLOOKUP("start",ESLData!E$1:E$9983,MATCH($A550,ESLData!$B$1:$B$9983,0))</f>
        <v>0</v>
      </c>
      <c r="E550" s="541">
        <f>HLOOKUP("start",ESLData!F$1:F$9983,MATCH($A550,ESLData!$B$1:$B$9983,0))</f>
        <v>200</v>
      </c>
      <c r="G550" s="541">
        <f>HLOOKUP("start",ESLData!H$1:H$9983,MATCH($A550,ESLData!$B$1:$B$9983,0))</f>
        <v>0</v>
      </c>
    </row>
    <row r="551" spans="1:7" x14ac:dyDescent="0.2">
      <c r="A551" s="540">
        <v>39181</v>
      </c>
      <c r="C551" s="541">
        <f>HLOOKUP("start",ESLData!E$1:E$9983,MATCH($A551,ESLData!$B$1:$B$9983,0))</f>
        <v>1110.45</v>
      </c>
      <c r="E551" s="541">
        <f>HLOOKUP("start",ESLData!F$1:F$9983,MATCH($A551,ESLData!$B$1:$B$9983,0))</f>
        <v>3300</v>
      </c>
      <c r="G551" s="541">
        <f>HLOOKUP("start",ESLData!H$1:H$9983,MATCH($A551,ESLData!$B$1:$B$9983,0))</f>
        <v>1387.67</v>
      </c>
    </row>
    <row r="552" spans="1:7" x14ac:dyDescent="0.2">
      <c r="A552" s="540">
        <v>39215</v>
      </c>
      <c r="C552" s="541">
        <f>HLOOKUP("start",ESLData!E$1:E$9983,MATCH($A552,ESLData!$B$1:$B$9983,0))</f>
        <v>200</v>
      </c>
      <c r="E552" s="541">
        <f>HLOOKUP("start",ESLData!F$1:F$9983,MATCH($A552,ESLData!$B$1:$B$9983,0))</f>
        <v>200</v>
      </c>
      <c r="G552" s="541">
        <f>HLOOKUP("start",ESLData!H$1:H$9983,MATCH($A552,ESLData!$B$1:$B$9983,0))</f>
        <v>0</v>
      </c>
    </row>
    <row r="553" spans="1:7" x14ac:dyDescent="0.2">
      <c r="A553" s="540">
        <v>39231</v>
      </c>
      <c r="C553" s="541">
        <f>HLOOKUP("start",ESLData!E$1:E$9983,MATCH($A553,ESLData!$B$1:$B$9983,0))</f>
        <v>300.68</v>
      </c>
      <c r="E553" s="541">
        <f>HLOOKUP("start",ESLData!F$1:F$9983,MATCH($A553,ESLData!$B$1:$B$9983,0))</f>
        <v>1000</v>
      </c>
      <c r="G553" s="541">
        <f>HLOOKUP("start",ESLData!H$1:H$9983,MATCH($A553,ESLData!$B$1:$B$9983,0))</f>
        <v>323.22000000000003</v>
      </c>
    </row>
    <row r="554" spans="1:7" x14ac:dyDescent="0.2">
      <c r="A554" s="540">
        <v>39264</v>
      </c>
      <c r="C554" s="541">
        <f>HLOOKUP("start",ESLData!E$1:E$9983,MATCH($A554,ESLData!$B$1:$B$9983,0))</f>
        <v>222.65</v>
      </c>
      <c r="E554" s="541">
        <f>HLOOKUP("start",ESLData!F$1:F$9983,MATCH($A554,ESLData!$B$1:$B$9983,0))</f>
        <v>200</v>
      </c>
      <c r="G554" s="541">
        <f>HLOOKUP("start",ESLData!H$1:H$9983,MATCH($A554,ESLData!$B$1:$B$9983,0))</f>
        <v>85.73</v>
      </c>
    </row>
    <row r="555" spans="1:7" x14ac:dyDescent="0.2">
      <c r="A555" s="540">
        <v>39281</v>
      </c>
      <c r="C555" s="541">
        <f>HLOOKUP("start",ESLData!E$1:E$9983,MATCH($A555,ESLData!$B$1:$B$9983,0))</f>
        <v>195.66</v>
      </c>
      <c r="E555" s="541">
        <f>HLOOKUP("start",ESLData!F$1:F$9983,MATCH($A555,ESLData!$B$1:$B$9983,0))</f>
        <v>1500</v>
      </c>
      <c r="G555" s="541">
        <f>HLOOKUP("start",ESLData!H$1:H$9983,MATCH($A555,ESLData!$B$1:$B$9983,0))</f>
        <v>536.66999999999996</v>
      </c>
    </row>
    <row r="556" spans="1:7" x14ac:dyDescent="0.2">
      <c r="A556" s="540">
        <v>39315</v>
      </c>
      <c r="C556" s="541">
        <f>HLOOKUP("start",ESLData!E$1:E$9983,MATCH($A556,ESLData!$B$1:$B$9983,0))</f>
        <v>13.03</v>
      </c>
      <c r="E556" s="541">
        <f>HLOOKUP("start",ESLData!F$1:F$9983,MATCH($A556,ESLData!$B$1:$B$9983,0))</f>
        <v>200</v>
      </c>
      <c r="G556" s="541">
        <f>HLOOKUP("start",ESLData!H$1:H$9983,MATCH($A556,ESLData!$B$1:$B$9983,0))</f>
        <v>352.83</v>
      </c>
    </row>
    <row r="557" spans="1:7" x14ac:dyDescent="0.2">
      <c r="A557" s="540">
        <v>39331</v>
      </c>
      <c r="C557" s="541">
        <f>HLOOKUP("start",ESLData!E$1:E$9983,MATCH($A557,ESLData!$B$1:$B$9983,0))</f>
        <v>1659.2</v>
      </c>
      <c r="E557" s="541">
        <f>HLOOKUP("start",ESLData!F$1:F$9983,MATCH($A557,ESLData!$B$1:$B$9983,0))</f>
        <v>2000</v>
      </c>
      <c r="G557" s="541">
        <f>HLOOKUP("start",ESLData!H$1:H$9983,MATCH($A557,ESLData!$B$1:$B$9983,0))</f>
        <v>617.22</v>
      </c>
    </row>
    <row r="558" spans="1:7" x14ac:dyDescent="0.2">
      <c r="A558" s="540">
        <v>39381</v>
      </c>
      <c r="C558" s="541">
        <f>HLOOKUP("start",ESLData!E$1:E$9983,MATCH($A558,ESLData!$B$1:$B$9983,0))</f>
        <v>1200.42</v>
      </c>
      <c r="E558" s="541">
        <f>HLOOKUP("start",ESLData!F$1:F$9983,MATCH($A558,ESLData!$B$1:$B$9983,0))</f>
        <v>2500</v>
      </c>
      <c r="G558" s="541">
        <f>HLOOKUP("start",ESLData!H$1:H$9983,MATCH($A558,ESLData!$B$1:$B$9983,0))</f>
        <v>1004.17</v>
      </c>
    </row>
    <row r="559" spans="1:7" x14ac:dyDescent="0.2">
      <c r="A559" s="540">
        <v>39365</v>
      </c>
      <c r="C559" s="541">
        <f>HLOOKUP("start",ESLData!E$1:E$9983,MATCH($A559,ESLData!$B$1:$B$9983,0))</f>
        <v>63.04</v>
      </c>
      <c r="E559" s="541">
        <f>HLOOKUP("start",ESLData!F$1:F$9983,MATCH($A559,ESLData!$B$1:$B$9983,0))</f>
        <v>200</v>
      </c>
      <c r="G559" s="541">
        <f>HLOOKUP("start",ESLData!H$1:H$9983,MATCH($A559,ESLData!$B$1:$B$9983,0))</f>
        <v>82.17</v>
      </c>
    </row>
    <row r="560" spans="1:7" x14ac:dyDescent="0.2">
      <c r="A560" s="540">
        <v>39470</v>
      </c>
      <c r="C560" s="541">
        <f>HLOOKUP("start",ESLData!E$1:E$9983,MATCH($A560,ESLData!$B$1:$B$9983,0))</f>
        <v>176.46</v>
      </c>
      <c r="E560" s="541">
        <f>HLOOKUP("start",ESLData!F$1:F$9983,MATCH($A560,ESLData!$B$1:$B$9983,0))</f>
        <v>200</v>
      </c>
      <c r="G560" s="541">
        <f>HLOOKUP("start",ESLData!H$1:H$9983,MATCH($A560,ESLData!$B$1:$B$9983,0))</f>
        <v>0</v>
      </c>
    </row>
    <row r="561" spans="1:8" x14ac:dyDescent="0.2">
      <c r="A561" s="540">
        <v>62455</v>
      </c>
      <c r="C561" s="541">
        <f>HLOOKUP("start",ESLData!E$1:E$9983,MATCH($A561,ESLData!$B$1:$B$9983,0))</f>
        <v>0</v>
      </c>
      <c r="E561" s="541">
        <f>HLOOKUP("start",ESLData!F$1:F$9983,MATCH($A561,ESLData!$B$1:$B$9983,0))</f>
        <v>200</v>
      </c>
      <c r="G561" s="541">
        <f>HLOOKUP("start",ESLData!H$1:H$9983,MATCH($A561,ESLData!$B$1:$B$9983,0))</f>
        <v>0</v>
      </c>
    </row>
    <row r="562" spans="1:8" x14ac:dyDescent="0.2">
      <c r="A562" s="540">
        <v>62560</v>
      </c>
      <c r="C562" s="541">
        <f>HLOOKUP("start",ESLData!E$1:E$9983,MATCH($A562,ESLData!$B$1:$B$9983,0))</f>
        <v>5177.6099999999997</v>
      </c>
      <c r="E562" s="541">
        <f>HLOOKUP("start",ESLData!F$1:F$9983,MATCH($A562,ESLData!$B$1:$B$9983,0))</f>
        <v>4000</v>
      </c>
      <c r="G562" s="541">
        <f>HLOOKUP("start",ESLData!H$1:H$9983,MATCH($A562,ESLData!$B$1:$B$9983,0))</f>
        <v>1728.24</v>
      </c>
    </row>
    <row r="563" spans="1:8" x14ac:dyDescent="0.2">
      <c r="A563" s="540">
        <v>63465</v>
      </c>
      <c r="C563" s="541">
        <f>HLOOKUP("start",ESLData!E$1:E$9983,MATCH($A563,ESLData!$B$1:$B$9983,0))</f>
        <v>164.35</v>
      </c>
      <c r="E563" s="541">
        <f>HLOOKUP("start",ESLData!F$1:F$9983,MATCH($A563,ESLData!$B$1:$B$9983,0))</f>
        <v>200</v>
      </c>
      <c r="G563" s="541">
        <f>HLOOKUP("start",ESLData!H$1:H$9983,MATCH($A563,ESLData!$B$1:$B$9983,0))</f>
        <v>0</v>
      </c>
    </row>
    <row r="564" spans="1:8" x14ac:dyDescent="0.2">
      <c r="A564" s="540">
        <v>63560</v>
      </c>
      <c r="C564" s="541">
        <f>HLOOKUP("start",ESLData!E$1:E$9983,MATCH($A564,ESLData!$B$1:$B$9983,0))</f>
        <v>1244.1199999999999</v>
      </c>
      <c r="D564" s="542">
        <f>SUM(C536:C564)</f>
        <v>19290.48</v>
      </c>
      <c r="E564" s="541">
        <f>HLOOKUP("start",ESLData!F$1:F$9983,MATCH($A564,ESLData!$B$1:$B$9983,0))</f>
        <v>1500</v>
      </c>
      <c r="F564" s="542">
        <f>SUM(E536:E564)</f>
        <v>33600</v>
      </c>
      <c r="G564" s="541">
        <f>HLOOKUP("start",ESLData!H$1:H$9983,MATCH($A564,ESLData!$B$1:$B$9983,0))</f>
        <v>135.65</v>
      </c>
      <c r="H564" s="542">
        <f>SUM(G536:G564)</f>
        <v>13206.939999999999</v>
      </c>
    </row>
    <row r="565" spans="1:8" x14ac:dyDescent="0.2">
      <c r="A565" s="538" t="s">
        <v>909</v>
      </c>
      <c r="C565" s="541"/>
      <c r="E565" s="541"/>
      <c r="G565" s="541"/>
    </row>
    <row r="566" spans="1:8" x14ac:dyDescent="0.2">
      <c r="A566" s="540">
        <v>35220</v>
      </c>
      <c r="C566" s="541">
        <f>HLOOKUP("start",ESLData!E$1:E$9983,MATCH($A566,ESLData!$B$1:$B$9983,0))</f>
        <v>5043.3100000000004</v>
      </c>
      <c r="E566" s="541">
        <f>HLOOKUP("start",ESLData!F$1:F$9983,MATCH($A566,ESLData!$B$1:$B$9983,0))</f>
        <v>8500</v>
      </c>
      <c r="G566" s="541">
        <f>HLOOKUP("start",ESLData!H$1:H$9983,MATCH($A566,ESLData!$B$1:$B$9983,0))</f>
        <v>7728.26</v>
      </c>
    </row>
    <row r="567" spans="1:8" x14ac:dyDescent="0.2">
      <c r="A567" s="540">
        <v>35230</v>
      </c>
      <c r="C567" s="541">
        <f>HLOOKUP("start",ESLData!E$1:E$9983,MATCH($A567,ESLData!$B$1:$B$9983,0))</f>
        <v>9373.9599999999991</v>
      </c>
      <c r="E567" s="541">
        <f>HLOOKUP("start",ESLData!F$1:F$9983,MATCH($A567,ESLData!$B$1:$B$9983,0))</f>
        <v>11000</v>
      </c>
      <c r="G567" s="541">
        <f>HLOOKUP("start",ESLData!H$1:H$9983,MATCH($A567,ESLData!$B$1:$B$9983,0))</f>
        <v>10795.65</v>
      </c>
    </row>
    <row r="568" spans="1:8" x14ac:dyDescent="0.2">
      <c r="A568" s="540">
        <v>35296</v>
      </c>
      <c r="C568" s="541">
        <f>HLOOKUP("start",ESLData!E$1:E$9983,MATCH($A568,ESLData!$B$1:$B$9983,0))</f>
        <v>0</v>
      </c>
      <c r="E568" s="541">
        <f>HLOOKUP("start",ESLData!F$1:F$9983,MATCH($A568,ESLData!$B$1:$B$9983,0))</f>
        <v>0</v>
      </c>
      <c r="G568" s="541">
        <f>HLOOKUP("start",ESLData!H$1:H$9983,MATCH($A568,ESLData!$B$1:$B$9983,0))</f>
        <v>0</v>
      </c>
    </row>
    <row r="569" spans="1:8" x14ac:dyDescent="0.2">
      <c r="A569" s="540">
        <v>35298</v>
      </c>
      <c r="C569" s="541">
        <f>HLOOKUP("start",ESLData!E$1:E$9983,MATCH($A569,ESLData!$B$1:$B$9983,0))</f>
        <v>0</v>
      </c>
      <c r="E569" s="541">
        <f>HLOOKUP("start",ESLData!F$1:F$9983,MATCH($A569,ESLData!$B$1:$B$9983,0))</f>
        <v>0</v>
      </c>
      <c r="G569" s="541">
        <f>HLOOKUP("start",ESLData!H$1:H$9983,MATCH($A569,ESLData!$B$1:$B$9983,0))</f>
        <v>0</v>
      </c>
    </row>
    <row r="570" spans="1:8" x14ac:dyDescent="0.2">
      <c r="A570" s="540">
        <v>62570</v>
      </c>
      <c r="C570" s="541">
        <f>HLOOKUP("start",ESLData!E$1:E$9983,MATCH($A570,ESLData!$B$1:$B$9983,0))</f>
        <v>11403.74</v>
      </c>
      <c r="E570" s="541">
        <f>HLOOKUP("start",ESLData!F$1:F$9983,MATCH($A570,ESLData!$B$1:$B$9983,0))</f>
        <v>12000</v>
      </c>
      <c r="G570" s="541">
        <f>HLOOKUP("start",ESLData!H$1:H$9983,MATCH($A570,ESLData!$B$1:$B$9983,0))</f>
        <v>12751.61</v>
      </c>
    </row>
    <row r="571" spans="1:8" x14ac:dyDescent="0.2">
      <c r="A571" s="540">
        <v>62580</v>
      </c>
      <c r="C571" s="541">
        <f>HLOOKUP("start",ESLData!E$1:E$9983,MATCH($A571,ESLData!$B$1:$B$9983,0))</f>
        <v>11939.66</v>
      </c>
      <c r="E571" s="541">
        <f>HLOOKUP("start",ESLData!F$1:F$9983,MATCH($A571,ESLData!$B$1:$B$9983,0))</f>
        <v>12000</v>
      </c>
      <c r="G571" s="541">
        <f>HLOOKUP("start",ESLData!H$1:H$9983,MATCH($A571,ESLData!$B$1:$B$9983,0))</f>
        <v>12157.26</v>
      </c>
    </row>
    <row r="572" spans="1:8" x14ac:dyDescent="0.2">
      <c r="A572" s="540">
        <v>63570</v>
      </c>
      <c r="C572" s="541">
        <f>HLOOKUP("start",ESLData!E$1:E$9983,MATCH($A572,ESLData!$B$1:$B$9983,0))</f>
        <v>6913.77</v>
      </c>
      <c r="E572" s="541">
        <f>HLOOKUP("start",ESLData!F$1:F$9983,MATCH($A572,ESLData!$B$1:$B$9983,0))</f>
        <v>4500</v>
      </c>
      <c r="G572" s="541">
        <f>HLOOKUP("start",ESLData!H$1:H$9983,MATCH($A572,ESLData!$B$1:$B$9983,0))</f>
        <v>3697.71</v>
      </c>
    </row>
    <row r="573" spans="1:8" x14ac:dyDescent="0.2">
      <c r="A573" s="540">
        <v>63580</v>
      </c>
      <c r="C573" s="541">
        <f>HLOOKUP("start",ESLData!E$1:E$9983,MATCH($A573,ESLData!$B$1:$B$9983,0))</f>
        <v>6538.04</v>
      </c>
      <c r="E573" s="541">
        <f>HLOOKUP("start",ESLData!F$1:F$9983,MATCH($A573,ESLData!$B$1:$B$9983,0))</f>
        <v>8000</v>
      </c>
      <c r="G573" s="541">
        <f>HLOOKUP("start",ESLData!H$1:H$9983,MATCH($A573,ESLData!$B$1:$B$9983,0))</f>
        <v>6474.31</v>
      </c>
    </row>
    <row r="574" spans="1:8" x14ac:dyDescent="0.2">
      <c r="A574" s="540">
        <v>35415</v>
      </c>
      <c r="C574" s="541">
        <f>HLOOKUP("start",ESLData!E$1:E$9983,MATCH($A574,ESLData!$B$1:$B$9983,0))</f>
        <v>4244.58</v>
      </c>
      <c r="E574" s="541">
        <f>HLOOKUP("start",ESLData!F$1:F$9983,MATCH($A574,ESLData!$B$1:$B$9983,0))</f>
        <v>5000</v>
      </c>
      <c r="G574" s="541">
        <f>HLOOKUP("start",ESLData!H$1:H$9983,MATCH($A574,ESLData!$B$1:$B$9983,0))</f>
        <v>9749.5499999999993</v>
      </c>
    </row>
    <row r="575" spans="1:8" x14ac:dyDescent="0.2">
      <c r="A575" s="540">
        <v>35425</v>
      </c>
      <c r="C575" s="541">
        <f>HLOOKUP("start",ESLData!E$1:E$9983,MATCH($A575,ESLData!$B$1:$B$9983,0))</f>
        <v>1565.8</v>
      </c>
      <c r="E575" s="541">
        <f>HLOOKUP("start",ESLData!F$1:F$9983,MATCH($A575,ESLData!$B$1:$B$9983,0))</f>
        <v>3000</v>
      </c>
      <c r="G575" s="541">
        <f>HLOOKUP("start",ESLData!H$1:H$9983,MATCH($A575,ESLData!$B$1:$B$9983,0))</f>
        <v>1799.98</v>
      </c>
    </row>
    <row r="576" spans="1:8" x14ac:dyDescent="0.2">
      <c r="A576" s="540">
        <v>35710</v>
      </c>
      <c r="C576" s="541">
        <f>HLOOKUP("start",ESLData!E$1:E$9983,MATCH($A576,ESLData!$B$1:$B$9983,0))</f>
        <v>3062.04</v>
      </c>
      <c r="E576" s="541">
        <f>HLOOKUP("start",ESLData!F$1:F$9983,MATCH($A576,ESLData!$B$1:$B$9983,0))</f>
        <v>6500</v>
      </c>
      <c r="G576" s="541">
        <f>HLOOKUP("start",ESLData!H$1:H$9983,MATCH($A576,ESLData!$B$1:$B$9983,0))</f>
        <v>5318.39</v>
      </c>
    </row>
    <row r="577" spans="1:7" x14ac:dyDescent="0.2">
      <c r="A577" s="540">
        <v>35720</v>
      </c>
      <c r="C577" s="541">
        <f>HLOOKUP("start",ESLData!E$1:E$9983,MATCH($A577,ESLData!$B$1:$B$9983,0))</f>
        <v>1531.1</v>
      </c>
      <c r="E577" s="541">
        <f>HLOOKUP("start",ESLData!F$1:F$9983,MATCH($A577,ESLData!$B$1:$B$9983,0))</f>
        <v>2000</v>
      </c>
      <c r="G577" s="541">
        <f>HLOOKUP("start",ESLData!H$1:H$9983,MATCH($A577,ESLData!$B$1:$B$9983,0))</f>
        <v>1531.26</v>
      </c>
    </row>
    <row r="578" spans="1:7" x14ac:dyDescent="0.2">
      <c r="A578" s="540">
        <v>39032</v>
      </c>
      <c r="C578" s="541">
        <f>HLOOKUP("start",ESLData!E$1:E$9983,MATCH($A578,ESLData!$B$1:$B$9983,0))</f>
        <v>3677.22</v>
      </c>
      <c r="E578" s="541">
        <f>HLOOKUP("start",ESLData!F$1:F$9983,MATCH($A578,ESLData!$B$1:$B$9983,0))</f>
        <v>2500</v>
      </c>
      <c r="G578" s="541">
        <f>HLOOKUP("start",ESLData!H$1:H$9983,MATCH($A578,ESLData!$B$1:$B$9983,0))</f>
        <v>1233.54</v>
      </c>
    </row>
    <row r="579" spans="1:7" x14ac:dyDescent="0.2">
      <c r="A579" s="540">
        <v>39034</v>
      </c>
      <c r="C579" s="541">
        <f>HLOOKUP("start",ESLData!E$1:E$9983,MATCH($A579,ESLData!$B$1:$B$9983,0))</f>
        <v>12300.13</v>
      </c>
      <c r="E579" s="541">
        <f>HLOOKUP("start",ESLData!F$1:F$9983,MATCH($A579,ESLData!$B$1:$B$9983,0))</f>
        <v>13500</v>
      </c>
      <c r="G579" s="541">
        <f>HLOOKUP("start",ESLData!H$1:H$9983,MATCH($A579,ESLData!$B$1:$B$9983,0))</f>
        <v>13734.43</v>
      </c>
    </row>
    <row r="580" spans="1:7" x14ac:dyDescent="0.2">
      <c r="A580" s="540">
        <v>39082</v>
      </c>
      <c r="C580" s="541">
        <f>HLOOKUP("start",ESLData!E$1:E$9983,MATCH($A580,ESLData!$B$1:$B$9983,0))</f>
        <v>10991.67</v>
      </c>
      <c r="E580" s="541">
        <f>HLOOKUP("start",ESLData!F$1:F$9983,MATCH($A580,ESLData!$B$1:$B$9983,0))</f>
        <v>14000</v>
      </c>
      <c r="G580" s="541">
        <f>HLOOKUP("start",ESLData!H$1:H$9983,MATCH($A580,ESLData!$B$1:$B$9983,0))</f>
        <v>12573.66</v>
      </c>
    </row>
    <row r="581" spans="1:7" x14ac:dyDescent="0.2">
      <c r="A581" s="540">
        <v>39084</v>
      </c>
      <c r="C581" s="541">
        <f>HLOOKUP("start",ESLData!E$1:E$9983,MATCH($A581,ESLData!$B$1:$B$9983,0))</f>
        <v>11803.45</v>
      </c>
      <c r="E581" s="541">
        <f>HLOOKUP("start",ESLData!F$1:F$9983,MATCH($A581,ESLData!$B$1:$B$9983,0))</f>
        <v>10000</v>
      </c>
      <c r="G581" s="541">
        <f>HLOOKUP("start",ESLData!H$1:H$9983,MATCH($A581,ESLData!$B$1:$B$9983,0))</f>
        <v>9719.75</v>
      </c>
    </row>
    <row r="582" spans="1:7" x14ac:dyDescent="0.2">
      <c r="A582" s="540">
        <v>39132</v>
      </c>
      <c r="C582" s="541">
        <f>HLOOKUP("start",ESLData!E$1:E$9983,MATCH($A582,ESLData!$B$1:$B$9983,0))</f>
        <v>743.33</v>
      </c>
      <c r="E582" s="541">
        <f>HLOOKUP("start",ESLData!F$1:F$9983,MATCH($A582,ESLData!$B$1:$B$9983,0))</f>
        <v>1000</v>
      </c>
      <c r="G582" s="541">
        <f>HLOOKUP("start",ESLData!H$1:H$9983,MATCH($A582,ESLData!$B$1:$B$9983,0))</f>
        <v>1246.6500000000001</v>
      </c>
    </row>
    <row r="583" spans="1:7" x14ac:dyDescent="0.2">
      <c r="A583" s="540">
        <v>39134</v>
      </c>
      <c r="C583" s="541">
        <f>HLOOKUP("start",ESLData!E$1:E$9983,MATCH($A583,ESLData!$B$1:$B$9983,0))</f>
        <v>4506.42</v>
      </c>
      <c r="E583" s="541">
        <f>HLOOKUP("start",ESLData!F$1:F$9983,MATCH($A583,ESLData!$B$1:$B$9983,0))</f>
        <v>4500</v>
      </c>
      <c r="G583" s="541">
        <f>HLOOKUP("start",ESLData!H$1:H$9983,MATCH($A583,ESLData!$B$1:$B$9983,0))</f>
        <v>4109.9799999999996</v>
      </c>
    </row>
    <row r="584" spans="1:7" x14ac:dyDescent="0.2">
      <c r="A584" s="540">
        <v>39182</v>
      </c>
      <c r="C584" s="541">
        <f>HLOOKUP("start",ESLData!E$1:E$9983,MATCH($A584,ESLData!$B$1:$B$9983,0))</f>
        <v>8920.14</v>
      </c>
      <c r="E584" s="541">
        <f>HLOOKUP("start",ESLData!F$1:F$9983,MATCH($A584,ESLData!$B$1:$B$9983,0))</f>
        <v>9000</v>
      </c>
      <c r="G584" s="541">
        <f>HLOOKUP("start",ESLData!H$1:H$9983,MATCH($A584,ESLData!$B$1:$B$9983,0))</f>
        <v>8911.01</v>
      </c>
    </row>
    <row r="585" spans="1:7" x14ac:dyDescent="0.2">
      <c r="A585" s="540">
        <v>39184</v>
      </c>
      <c r="C585" s="541">
        <f>HLOOKUP("start",ESLData!E$1:E$9983,MATCH($A585,ESLData!$B$1:$B$9983,0))</f>
        <v>9342.61</v>
      </c>
      <c r="E585" s="541">
        <f>HLOOKUP("start",ESLData!F$1:F$9983,MATCH($A585,ESLData!$B$1:$B$9983,0))</f>
        <v>8500</v>
      </c>
      <c r="G585" s="541">
        <f>HLOOKUP("start",ESLData!H$1:H$9983,MATCH($A585,ESLData!$B$1:$B$9983,0))</f>
        <v>7756.55</v>
      </c>
    </row>
    <row r="586" spans="1:7" x14ac:dyDescent="0.2">
      <c r="A586" s="540">
        <v>39232</v>
      </c>
      <c r="C586" s="541">
        <f>HLOOKUP("start",ESLData!E$1:E$9983,MATCH($A586,ESLData!$B$1:$B$9983,0))</f>
        <v>1863.58</v>
      </c>
      <c r="E586" s="541">
        <f>HLOOKUP("start",ESLData!F$1:F$9983,MATCH($A586,ESLData!$B$1:$B$9983,0))</f>
        <v>250</v>
      </c>
      <c r="G586" s="541">
        <f>HLOOKUP("start",ESLData!H$1:H$9983,MATCH($A586,ESLData!$B$1:$B$9983,0))</f>
        <v>712.38</v>
      </c>
    </row>
    <row r="587" spans="1:7" x14ac:dyDescent="0.2">
      <c r="A587" s="540">
        <v>39234</v>
      </c>
      <c r="C587" s="541">
        <f>HLOOKUP("start",ESLData!E$1:E$9983,MATCH($A587,ESLData!$B$1:$B$9983,0))</f>
        <v>3318.88</v>
      </c>
      <c r="E587" s="541">
        <f>HLOOKUP("start",ESLData!F$1:F$9983,MATCH($A587,ESLData!$B$1:$B$9983,0))</f>
        <v>4000</v>
      </c>
      <c r="G587" s="541">
        <f>HLOOKUP("start",ESLData!H$1:H$9983,MATCH($A587,ESLData!$B$1:$B$9983,0))</f>
        <v>3250.98</v>
      </c>
    </row>
    <row r="588" spans="1:7" x14ac:dyDescent="0.2">
      <c r="A588" s="540">
        <v>39282</v>
      </c>
      <c r="C588" s="541">
        <f>HLOOKUP("start",ESLData!E$1:E$9983,MATCH($A588,ESLData!$B$1:$B$9983,0))</f>
        <v>3124.58</v>
      </c>
      <c r="E588" s="541">
        <f>HLOOKUP("start",ESLData!F$1:F$9983,MATCH($A588,ESLData!$B$1:$B$9983,0))</f>
        <v>3500</v>
      </c>
      <c r="G588" s="541">
        <f>HLOOKUP("start",ESLData!H$1:H$9983,MATCH($A588,ESLData!$B$1:$B$9983,0))</f>
        <v>2894.54</v>
      </c>
    </row>
    <row r="589" spans="1:7" x14ac:dyDescent="0.2">
      <c r="A589" s="540">
        <v>39284</v>
      </c>
      <c r="C589" s="541">
        <f>HLOOKUP("start",ESLData!E$1:E$9983,MATCH($A589,ESLData!$B$1:$B$9983,0))</f>
        <v>7589.86</v>
      </c>
      <c r="E589" s="541">
        <f>HLOOKUP("start",ESLData!F$1:F$9983,MATCH($A589,ESLData!$B$1:$B$9983,0))</f>
        <v>7000</v>
      </c>
      <c r="G589" s="541">
        <f>HLOOKUP("start",ESLData!H$1:H$9983,MATCH($A589,ESLData!$B$1:$B$9983,0))</f>
        <v>6251.41</v>
      </c>
    </row>
    <row r="590" spans="1:7" x14ac:dyDescent="0.2">
      <c r="A590" s="540">
        <v>39332</v>
      </c>
      <c r="C590" s="541">
        <f>HLOOKUP("start",ESLData!E$1:E$9983,MATCH($A590,ESLData!$B$1:$B$9983,0))</f>
        <v>1936.41</v>
      </c>
      <c r="E590" s="541">
        <f>HLOOKUP("start",ESLData!F$1:F$9983,MATCH($A590,ESLData!$B$1:$B$9983,0))</f>
        <v>4000</v>
      </c>
      <c r="G590" s="541">
        <f>HLOOKUP("start",ESLData!H$1:H$9983,MATCH($A590,ESLData!$B$1:$B$9983,0))</f>
        <v>2667.09</v>
      </c>
    </row>
    <row r="591" spans="1:7" x14ac:dyDescent="0.2">
      <c r="A591" s="540">
        <v>39333</v>
      </c>
      <c r="C591" s="541">
        <f>HLOOKUP("start",ESLData!E$1:E$9983,MATCH($A591,ESLData!$B$1:$B$9983,0))</f>
        <v>478.43</v>
      </c>
      <c r="E591" s="541">
        <f>HLOOKUP("start",ESLData!F$1:F$9983,MATCH($A591,ESLData!$B$1:$B$9983,0))</f>
        <v>800</v>
      </c>
      <c r="G591" s="541">
        <f>HLOOKUP("start",ESLData!H$1:H$9983,MATCH($A591,ESLData!$B$1:$B$9983,0))</f>
        <v>43.48</v>
      </c>
    </row>
    <row r="592" spans="1:7" x14ac:dyDescent="0.2">
      <c r="A592" s="540">
        <v>39334</v>
      </c>
      <c r="C592" s="541">
        <f>HLOOKUP("start",ESLData!E$1:E$9983,MATCH($A592,ESLData!$B$1:$B$9983,0))</f>
        <v>9219.15</v>
      </c>
      <c r="E592" s="541">
        <f>HLOOKUP("start",ESLData!F$1:F$9983,MATCH($A592,ESLData!$B$1:$B$9983,0))</f>
        <v>10000</v>
      </c>
      <c r="G592" s="541">
        <f>HLOOKUP("start",ESLData!H$1:H$9983,MATCH($A592,ESLData!$B$1:$B$9983,0))</f>
        <v>10277.48</v>
      </c>
    </row>
    <row r="593" spans="1:8" x14ac:dyDescent="0.2">
      <c r="A593" s="540">
        <v>39382</v>
      </c>
      <c r="C593" s="541">
        <f>HLOOKUP("start",ESLData!E$1:E$9983,MATCH($A593,ESLData!$B$1:$B$9983,0))</f>
        <v>1189.17</v>
      </c>
      <c r="E593" s="541">
        <f>HLOOKUP("start",ESLData!F$1:F$9983,MATCH($A593,ESLData!$B$1:$B$9983,0))</f>
        <v>1500</v>
      </c>
      <c r="G593" s="541">
        <f>HLOOKUP("start",ESLData!H$1:H$9983,MATCH($A593,ESLData!$B$1:$B$9983,0))</f>
        <v>942.27</v>
      </c>
    </row>
    <row r="594" spans="1:8" x14ac:dyDescent="0.2">
      <c r="A594" s="540">
        <v>39384</v>
      </c>
      <c r="C594" s="541">
        <f>HLOOKUP("start",ESLData!E$1:E$9983,MATCH($A594,ESLData!$B$1:$B$9983,0))</f>
        <v>2096.31</v>
      </c>
      <c r="E594" s="541">
        <f>HLOOKUP("start",ESLData!F$1:F$9983,MATCH($A594,ESLData!$B$1:$B$9983,0))</f>
        <v>4000</v>
      </c>
      <c r="G594" s="541">
        <f>HLOOKUP("start",ESLData!H$1:H$9983,MATCH($A594,ESLData!$B$1:$B$9983,0))</f>
        <v>3207.79</v>
      </c>
    </row>
    <row r="595" spans="1:8" x14ac:dyDescent="0.2">
      <c r="A595" s="540">
        <v>39510</v>
      </c>
      <c r="C595" s="541">
        <f>HLOOKUP("start",ESLData!E$1:E$9983,MATCH($A595,ESLData!$B$1:$B$9983,0))</f>
        <v>5776.38</v>
      </c>
      <c r="E595" s="541">
        <f>HLOOKUP("start",ESLData!F$1:F$9983,MATCH($A595,ESLData!$B$1:$B$9983,0))</f>
        <v>5500</v>
      </c>
      <c r="G595" s="541">
        <f>HLOOKUP("start",ESLData!H$1:H$9983,MATCH($A595,ESLData!$B$1:$B$9983,0))</f>
        <v>6064.45</v>
      </c>
    </row>
    <row r="596" spans="1:8" x14ac:dyDescent="0.2">
      <c r="A596" s="540">
        <v>39520</v>
      </c>
      <c r="C596" s="541">
        <f>HLOOKUP("start",ESLData!E$1:E$9983,MATCH($A596,ESLData!$B$1:$B$9983,0))</f>
        <v>3774.95</v>
      </c>
      <c r="D596" s="542">
        <f>SUM(C566:C596)</f>
        <v>164268.67000000001</v>
      </c>
      <c r="E596" s="541">
        <f>HLOOKUP("start",ESLData!F$1:F$9983,MATCH($A596,ESLData!$B$1:$B$9983,0))</f>
        <v>4000</v>
      </c>
      <c r="F596" s="542">
        <f>SUM(E566:E596)</f>
        <v>180050</v>
      </c>
      <c r="G596" s="541">
        <f>HLOOKUP("start",ESLData!H$1:H$9983,MATCH($A596,ESLData!$B$1:$B$9983,0))</f>
        <v>3981.35</v>
      </c>
      <c r="H596" s="542">
        <f>SUM(G566:G596)</f>
        <v>171582.77000000002</v>
      </c>
    </row>
    <row r="597" spans="1:8" x14ac:dyDescent="0.2">
      <c r="A597" s="548" t="s">
        <v>910</v>
      </c>
      <c r="C597" s="541"/>
      <c r="E597" s="541"/>
      <c r="G597" s="541"/>
    </row>
    <row r="598" spans="1:8" x14ac:dyDescent="0.2">
      <c r="A598" s="540">
        <v>35800</v>
      </c>
      <c r="C598" s="541">
        <f>HLOOKUP("start",ESLData!E$1:E$9983,MATCH($A598,ESLData!$B$1:$B$9983,0))</f>
        <v>28734.52</v>
      </c>
      <c r="E598" s="541">
        <f>HLOOKUP("start",ESLData!F$1:F$9983,MATCH($A598,ESLData!$B$1:$B$9983,0))</f>
        <v>32292</v>
      </c>
      <c r="G598" s="541">
        <f>HLOOKUP("start",ESLData!H$1:H$9983,MATCH($A598,ESLData!$B$1:$B$9983,0))</f>
        <v>65170.27</v>
      </c>
    </row>
    <row r="599" spans="1:8" x14ac:dyDescent="0.2">
      <c r="A599" s="540">
        <v>35801</v>
      </c>
      <c r="C599" s="541">
        <f>HLOOKUP("start",ESLData!E$1:E$9983,MATCH($A599,ESLData!$B$1:$B$9983,0))</f>
        <v>5058.38</v>
      </c>
      <c r="E599" s="541">
        <f>HLOOKUP("start",ESLData!F$1:F$9983,MATCH($A599,ESLData!$B$1:$B$9983,0))</f>
        <v>10365</v>
      </c>
      <c r="G599" s="541">
        <f>HLOOKUP("start",ESLData!H$1:H$9983,MATCH($A599,ESLData!$B$1:$B$9983,0))</f>
        <v>5755.43</v>
      </c>
    </row>
    <row r="600" spans="1:8" x14ac:dyDescent="0.2">
      <c r="A600" s="540">
        <v>35805</v>
      </c>
      <c r="C600" s="541">
        <f>HLOOKUP("start",ESLData!E$1:E$9983,MATCH($A600,ESLData!$B$1:$B$9983,0))</f>
        <v>313.04000000000002</v>
      </c>
      <c r="E600" s="541">
        <f>HLOOKUP("start",ESLData!F$1:F$9983,MATCH($A600,ESLData!$B$1:$B$9983,0))</f>
        <v>360</v>
      </c>
      <c r="G600" s="541">
        <f>HLOOKUP("start",ESLData!H$1:H$9983,MATCH($A600,ESLData!$B$1:$B$9983,0))</f>
        <v>798.26</v>
      </c>
    </row>
    <row r="601" spans="1:8" x14ac:dyDescent="0.2">
      <c r="A601" s="540">
        <v>35810</v>
      </c>
      <c r="C601" s="541">
        <f>HLOOKUP("start",ESLData!E$1:E$9983,MATCH($A601,ESLData!$B$1:$B$9983,0))</f>
        <v>425.95</v>
      </c>
      <c r="E601" s="541">
        <f>HLOOKUP("start",ESLData!F$1:F$9983,MATCH($A601,ESLData!$B$1:$B$9983,0))</f>
        <v>850</v>
      </c>
      <c r="G601" s="541">
        <f>HLOOKUP("start",ESLData!H$1:H$9983,MATCH($A601,ESLData!$B$1:$B$9983,0))</f>
        <v>1020.42</v>
      </c>
    </row>
    <row r="602" spans="1:8" x14ac:dyDescent="0.2">
      <c r="A602" s="540">
        <v>35830</v>
      </c>
      <c r="C602" s="541">
        <f>HLOOKUP("start",ESLData!E$1:E$9983,MATCH($A602,ESLData!$B$1:$B$9983,0))</f>
        <v>500</v>
      </c>
      <c r="E602" s="541">
        <f>HLOOKUP("start",ESLData!F$1:F$9983,MATCH($A602,ESLData!$B$1:$B$9983,0))</f>
        <v>1000</v>
      </c>
      <c r="G602" s="541">
        <f>HLOOKUP("start",ESLData!H$1:H$9983,MATCH($A602,ESLData!$B$1:$B$9983,0))</f>
        <v>0</v>
      </c>
    </row>
    <row r="603" spans="1:8" x14ac:dyDescent="0.2">
      <c r="A603" s="540">
        <v>35840</v>
      </c>
      <c r="C603" s="541">
        <f>HLOOKUP("start",ESLData!E$1:E$9983,MATCH($A603,ESLData!$B$1:$B$9983,0))</f>
        <v>158.93</v>
      </c>
      <c r="E603" s="541">
        <f>HLOOKUP("start",ESLData!F$1:F$9983,MATCH($A603,ESLData!$B$1:$B$9983,0))</f>
        <v>500</v>
      </c>
      <c r="G603" s="541">
        <f>HLOOKUP("start",ESLData!H$1:H$9983,MATCH($A603,ESLData!$B$1:$B$9983,0))</f>
        <v>708.73</v>
      </c>
    </row>
    <row r="604" spans="1:8" x14ac:dyDescent="0.2">
      <c r="A604" s="540">
        <v>35850</v>
      </c>
      <c r="C604" s="541">
        <f>HLOOKUP("start",ESLData!E$1:E$9983,MATCH($A604,ESLData!$B$1:$B$9983,0))</f>
        <v>0</v>
      </c>
      <c r="E604" s="541">
        <f>HLOOKUP("start",ESLData!F$1:F$9983,MATCH($A604,ESLData!$B$1:$B$9983,0))</f>
        <v>0</v>
      </c>
      <c r="G604" s="541">
        <f>HLOOKUP("start",ESLData!H$1:H$9983,MATCH($A604,ESLData!$B$1:$B$9983,0))</f>
        <v>0</v>
      </c>
    </row>
    <row r="605" spans="1:8" x14ac:dyDescent="0.2">
      <c r="A605" s="540">
        <v>35855</v>
      </c>
      <c r="C605" s="541">
        <f>HLOOKUP("start",ESLData!E$1:E$9983,MATCH($A605,ESLData!$B$1:$B$9983,0))</f>
        <v>52.65</v>
      </c>
      <c r="E605" s="541">
        <f>HLOOKUP("start",ESLData!F$1:F$9983,MATCH($A605,ESLData!$B$1:$B$9983,0))</f>
        <v>150</v>
      </c>
      <c r="G605" s="541">
        <f>HLOOKUP("start",ESLData!H$1:H$9983,MATCH($A605,ESLData!$B$1:$B$9983,0))</f>
        <v>41.35</v>
      </c>
    </row>
    <row r="606" spans="1:8" x14ac:dyDescent="0.2">
      <c r="A606" s="540">
        <v>35860</v>
      </c>
      <c r="C606" s="541">
        <f>HLOOKUP("start",ESLData!E$1:E$9983,MATCH($A606,ESLData!$B$1:$B$9983,0))</f>
        <v>83.53</v>
      </c>
      <c r="E606" s="541">
        <f>HLOOKUP("start",ESLData!F$1:F$9983,MATCH($A606,ESLData!$B$1:$B$9983,0))</f>
        <v>50</v>
      </c>
      <c r="G606" s="541">
        <f>HLOOKUP("start",ESLData!H$1:H$9983,MATCH($A606,ESLData!$B$1:$B$9983,0))</f>
        <v>2.8</v>
      </c>
    </row>
    <row r="607" spans="1:8" x14ac:dyDescent="0.2">
      <c r="A607" s="540">
        <v>35865</v>
      </c>
      <c r="C607" s="541">
        <f>HLOOKUP("start",ESLData!E$1:E$9983,MATCH($A607,ESLData!$B$1:$B$9983,0))</f>
        <v>2.61</v>
      </c>
      <c r="E607" s="541">
        <f>HLOOKUP("start",ESLData!F$1:F$9983,MATCH($A607,ESLData!$B$1:$B$9983,0))</f>
        <v>100</v>
      </c>
      <c r="G607" s="541">
        <f>HLOOKUP("start",ESLData!H$1:H$9983,MATCH($A607,ESLData!$B$1:$B$9983,0))</f>
        <v>90.62</v>
      </c>
    </row>
    <row r="608" spans="1:8" x14ac:dyDescent="0.2">
      <c r="A608" s="540">
        <v>35870</v>
      </c>
      <c r="C608" s="541">
        <f>HLOOKUP("start",ESLData!E$1:E$9983,MATCH($A608,ESLData!$B$1:$B$9983,0))</f>
        <v>0</v>
      </c>
      <c r="E608" s="541">
        <f>HLOOKUP("start",ESLData!F$1:F$9983,MATCH($A608,ESLData!$B$1:$B$9983,0))</f>
        <v>0</v>
      </c>
      <c r="G608" s="541">
        <f>HLOOKUP("start",ESLData!H$1:H$9983,MATCH($A608,ESLData!$B$1:$B$9983,0))</f>
        <v>0</v>
      </c>
    </row>
    <row r="609" spans="1:8" x14ac:dyDescent="0.2">
      <c r="A609" s="540">
        <v>35875</v>
      </c>
      <c r="C609" s="541">
        <f>HLOOKUP("start",ESLData!E$1:E$9983,MATCH($A609,ESLData!$B$1:$B$9983,0))</f>
        <v>165.07</v>
      </c>
      <c r="D609" s="542">
        <f>SUM(C598:C609)</f>
        <v>35494.68</v>
      </c>
      <c r="E609" s="541">
        <f>HLOOKUP("start",ESLData!F$1:F$9983,MATCH($A609,ESLData!$B$1:$B$9983,0))</f>
        <v>200</v>
      </c>
      <c r="F609" s="542">
        <f>SUM(E598:E609)</f>
        <v>45867</v>
      </c>
      <c r="G609" s="541">
        <f>HLOOKUP("start",ESLData!H$1:H$9983,MATCH($A609,ESLData!$B$1:$B$9983,0))</f>
        <v>86.91</v>
      </c>
      <c r="H609" s="542">
        <f>SUM(G598:G609)</f>
        <v>73674.789999999994</v>
      </c>
    </row>
    <row r="610" spans="1:8" x14ac:dyDescent="0.2">
      <c r="A610" s="548" t="s">
        <v>911</v>
      </c>
      <c r="C610" s="541"/>
      <c r="E610" s="541"/>
      <c r="G610" s="541"/>
    </row>
    <row r="611" spans="1:8" x14ac:dyDescent="0.2">
      <c r="A611" s="540">
        <v>35160</v>
      </c>
      <c r="C611" s="541">
        <f>HLOOKUP("start",ESLData!E$1:E$9983,MATCH($A611,ESLData!$B$1:$B$9983,0))</f>
        <v>4562.05</v>
      </c>
      <c r="E611" s="541">
        <f>HLOOKUP("start",ESLData!F$1:F$9983,MATCH($A611,ESLData!$B$1:$B$9983,0))</f>
        <v>4880</v>
      </c>
      <c r="G611" s="541">
        <f>HLOOKUP("start",ESLData!H$1:H$9983,MATCH($A611,ESLData!$B$1:$B$9983,0))</f>
        <v>4101.5200000000004</v>
      </c>
    </row>
    <row r="612" spans="1:8" x14ac:dyDescent="0.2">
      <c r="A612" s="540">
        <v>35161</v>
      </c>
      <c r="C612" s="541">
        <f>HLOOKUP("start",ESLData!E$1:E$9983,MATCH($A612,ESLData!$B$1:$B$9983,0))</f>
        <v>472.81</v>
      </c>
      <c r="E612" s="541">
        <f>HLOOKUP("start",ESLData!F$1:F$9983,MATCH($A612,ESLData!$B$1:$B$9983,0))</f>
        <v>500</v>
      </c>
      <c r="G612" s="541">
        <f>HLOOKUP("start",ESLData!H$1:H$9983,MATCH($A612,ESLData!$B$1:$B$9983,0))</f>
        <v>486.25</v>
      </c>
    </row>
    <row r="613" spans="1:8" x14ac:dyDescent="0.2">
      <c r="A613" s="540">
        <v>35162</v>
      </c>
      <c r="C613" s="541">
        <f>HLOOKUP("start",ESLData!E$1:E$9983,MATCH($A613,ESLData!$B$1:$B$9983,0))</f>
        <v>507.45</v>
      </c>
      <c r="E613" s="541">
        <f>HLOOKUP("start",ESLData!F$1:F$9983,MATCH($A613,ESLData!$B$1:$B$9983,0))</f>
        <v>500</v>
      </c>
      <c r="G613" s="541">
        <f>HLOOKUP("start",ESLData!H$1:H$9983,MATCH($A613,ESLData!$B$1:$B$9983,0))</f>
        <v>355.69</v>
      </c>
    </row>
    <row r="614" spans="1:8" x14ac:dyDescent="0.2">
      <c r="A614" s="540">
        <v>35163</v>
      </c>
      <c r="C614" s="541">
        <f>HLOOKUP("start",ESLData!E$1:E$9983,MATCH($A614,ESLData!$B$1:$B$9983,0))</f>
        <v>11.99</v>
      </c>
      <c r="E614" s="541">
        <f>HLOOKUP("start",ESLData!F$1:F$9983,MATCH($A614,ESLData!$B$1:$B$9983,0))</f>
        <v>250</v>
      </c>
      <c r="G614" s="541">
        <f>HLOOKUP("start",ESLData!H$1:H$9983,MATCH($A614,ESLData!$B$1:$B$9983,0))</f>
        <v>155.68</v>
      </c>
    </row>
    <row r="615" spans="1:8" x14ac:dyDescent="0.2">
      <c r="A615" s="540">
        <v>35164</v>
      </c>
      <c r="C615" s="541">
        <f>HLOOKUP("start",ESLData!E$1:E$9983,MATCH($A615,ESLData!$B$1:$B$9983,0))</f>
        <v>113.91</v>
      </c>
      <c r="E615" s="541">
        <f>HLOOKUP("start",ESLData!F$1:F$9983,MATCH($A615,ESLData!$B$1:$B$9983,0))</f>
        <v>200</v>
      </c>
      <c r="G615" s="541">
        <f>HLOOKUP("start",ESLData!H$1:H$9983,MATCH($A615,ESLData!$B$1:$B$9983,0))</f>
        <v>94.72</v>
      </c>
    </row>
    <row r="616" spans="1:8" x14ac:dyDescent="0.2">
      <c r="A616" s="540">
        <v>35166</v>
      </c>
      <c r="C616" s="541">
        <f>HLOOKUP("start",ESLData!E$1:E$9983,MATCH($A616,ESLData!$B$1:$B$9983,0))</f>
        <v>0</v>
      </c>
      <c r="E616" s="541">
        <f>HLOOKUP("start",ESLData!F$1:F$9983,MATCH($A616,ESLData!$B$1:$B$9983,0))</f>
        <v>150</v>
      </c>
      <c r="G616" s="541">
        <f>HLOOKUP("start",ESLData!H$1:H$9983,MATCH($A616,ESLData!$B$1:$B$9983,0))</f>
        <v>128.77000000000001</v>
      </c>
    </row>
    <row r="617" spans="1:8" x14ac:dyDescent="0.2">
      <c r="A617" s="540">
        <v>35167</v>
      </c>
      <c r="C617" s="541">
        <f>HLOOKUP("start",ESLData!E$1:E$9983,MATCH($A617,ESLData!$B$1:$B$9983,0))</f>
        <v>0</v>
      </c>
      <c r="E617" s="541">
        <f>HLOOKUP("start",ESLData!F$1:F$9983,MATCH($A617,ESLData!$B$1:$B$9983,0))</f>
        <v>750</v>
      </c>
      <c r="G617" s="541">
        <f>HLOOKUP("start",ESLData!H$1:H$9983,MATCH($A617,ESLData!$B$1:$B$9983,0))</f>
        <v>152.16999999999999</v>
      </c>
    </row>
    <row r="618" spans="1:8" x14ac:dyDescent="0.2">
      <c r="A618" s="540">
        <v>35168</v>
      </c>
      <c r="C618" s="541">
        <f>HLOOKUP("start",ESLData!E$1:E$9983,MATCH($A618,ESLData!$B$1:$B$9983,0))</f>
        <v>5228.9799999999996</v>
      </c>
      <c r="E618" s="541">
        <f>HLOOKUP("start",ESLData!F$1:F$9983,MATCH($A618,ESLData!$B$1:$B$9983,0))</f>
        <v>6500</v>
      </c>
      <c r="G618" s="541">
        <f>HLOOKUP("start",ESLData!H$1:H$9983,MATCH($A618,ESLData!$B$1:$B$9983,0))</f>
        <v>3977.68</v>
      </c>
    </row>
    <row r="619" spans="1:8" x14ac:dyDescent="0.2">
      <c r="A619" s="540">
        <v>34700</v>
      </c>
      <c r="C619" s="541">
        <f>HLOOKUP("start",ESLData!E$1:E$9983,MATCH($A619,ESLData!$B$1:$B$9983,0))</f>
        <v>4562.67</v>
      </c>
      <c r="E619" s="541">
        <f>HLOOKUP("start",ESLData!F$1:F$9983,MATCH($A619,ESLData!$B$1:$B$9983,0))</f>
        <v>4880</v>
      </c>
      <c r="G619" s="541">
        <f>HLOOKUP("start",ESLData!H$1:H$9983,MATCH($A619,ESLData!$B$1:$B$9983,0))</f>
        <v>4060.66</v>
      </c>
    </row>
    <row r="620" spans="1:8" x14ac:dyDescent="0.2">
      <c r="A620" s="540">
        <v>34710</v>
      </c>
      <c r="C620" s="541">
        <f>HLOOKUP("start",ESLData!E$1:E$9983,MATCH($A620,ESLData!$B$1:$B$9983,0))</f>
        <v>1113.74</v>
      </c>
      <c r="E620" s="541">
        <f>HLOOKUP("start",ESLData!F$1:F$9983,MATCH($A620,ESLData!$B$1:$B$9983,0))</f>
        <v>1400</v>
      </c>
      <c r="G620" s="541">
        <f>HLOOKUP("start",ESLData!H$1:H$9983,MATCH($A620,ESLData!$B$1:$B$9983,0))</f>
        <v>1263.56</v>
      </c>
    </row>
    <row r="621" spans="1:8" x14ac:dyDescent="0.2">
      <c r="A621" s="540">
        <v>34720</v>
      </c>
      <c r="C621" s="541">
        <f>HLOOKUP("start",ESLData!E$1:E$9983,MATCH($A621,ESLData!$B$1:$B$9983,0))</f>
        <v>0</v>
      </c>
      <c r="E621" s="541">
        <f>HLOOKUP("start",ESLData!F$1:F$9983,MATCH($A621,ESLData!$B$1:$B$9983,0))</f>
        <v>200</v>
      </c>
      <c r="G621" s="541">
        <f>HLOOKUP("start",ESLData!H$1:H$9983,MATCH($A621,ESLData!$B$1:$B$9983,0))</f>
        <v>64.89</v>
      </c>
    </row>
    <row r="622" spans="1:8" x14ac:dyDescent="0.2">
      <c r="A622" s="540">
        <v>34730</v>
      </c>
      <c r="C622" s="541">
        <f>HLOOKUP("start",ESLData!E$1:E$9983,MATCH($A622,ESLData!$B$1:$B$9983,0))</f>
        <v>0</v>
      </c>
      <c r="E622" s="541">
        <f>HLOOKUP("start",ESLData!F$1:F$9983,MATCH($A622,ESLData!$B$1:$B$9983,0))</f>
        <v>200</v>
      </c>
      <c r="G622" s="541">
        <f>HLOOKUP("start",ESLData!H$1:H$9983,MATCH($A622,ESLData!$B$1:$B$9983,0))</f>
        <v>37.369999999999997</v>
      </c>
    </row>
    <row r="623" spans="1:8" x14ac:dyDescent="0.2">
      <c r="A623" s="540">
        <v>34740</v>
      </c>
      <c r="C623" s="541">
        <f>HLOOKUP("start",ESLData!E$1:E$9983,MATCH($A623,ESLData!$B$1:$B$9983,0))</f>
        <v>284.74</v>
      </c>
      <c r="E623" s="541">
        <f>HLOOKUP("start",ESLData!F$1:F$9983,MATCH($A623,ESLData!$B$1:$B$9983,0))</f>
        <v>850</v>
      </c>
      <c r="G623" s="541">
        <f>HLOOKUP("start",ESLData!H$1:H$9983,MATCH($A623,ESLData!$B$1:$B$9983,0))</f>
        <v>755.34</v>
      </c>
    </row>
    <row r="624" spans="1:8" x14ac:dyDescent="0.2">
      <c r="A624" s="540">
        <v>34760</v>
      </c>
      <c r="C624" s="541">
        <f>HLOOKUP("start",ESLData!E$1:E$9983,MATCH($A624,ESLData!$B$1:$B$9983,0))</f>
        <v>200.95</v>
      </c>
      <c r="E624" s="541">
        <f>HLOOKUP("start",ESLData!F$1:F$9983,MATCH($A624,ESLData!$B$1:$B$9983,0))</f>
        <v>150</v>
      </c>
      <c r="G624" s="541">
        <f>HLOOKUP("start",ESLData!H$1:H$9983,MATCH($A624,ESLData!$B$1:$B$9983,0))</f>
        <v>0</v>
      </c>
    </row>
    <row r="625" spans="1:7" x14ac:dyDescent="0.2">
      <c r="A625" s="540">
        <v>34765</v>
      </c>
      <c r="C625" s="541">
        <f>HLOOKUP("start",ESLData!E$1:E$9983,MATCH($A625,ESLData!$B$1:$B$9983,0))</f>
        <v>0</v>
      </c>
      <c r="E625" s="541">
        <f>HLOOKUP("start",ESLData!F$1:F$9983,MATCH($A625,ESLData!$B$1:$B$9983,0))</f>
        <v>0</v>
      </c>
      <c r="G625" s="541">
        <f>HLOOKUP("start",ESLData!H$1:H$9983,MATCH($A625,ESLData!$B$1:$B$9983,0))</f>
        <v>0</v>
      </c>
    </row>
    <row r="626" spans="1:7" x14ac:dyDescent="0.2">
      <c r="A626" s="540">
        <v>34770</v>
      </c>
      <c r="C626" s="541">
        <f>HLOOKUP("start",ESLData!E$1:E$9983,MATCH($A626,ESLData!$B$1:$B$9983,0))</f>
        <v>138.97</v>
      </c>
      <c r="E626" s="541">
        <f>HLOOKUP("start",ESLData!F$1:F$9983,MATCH($A626,ESLData!$B$1:$B$9983,0))</f>
        <v>800</v>
      </c>
      <c r="G626" s="541">
        <f>HLOOKUP("start",ESLData!H$1:H$9983,MATCH($A626,ESLData!$B$1:$B$9983,0))</f>
        <v>62.61</v>
      </c>
    </row>
    <row r="627" spans="1:7" x14ac:dyDescent="0.2">
      <c r="A627" s="540">
        <v>34780</v>
      </c>
      <c r="C627" s="541">
        <f>HLOOKUP("start",ESLData!E$1:E$9983,MATCH($A627,ESLData!$B$1:$B$9983,0))</f>
        <v>23335.38</v>
      </c>
      <c r="E627" s="541">
        <f>HLOOKUP("start",ESLData!F$1:F$9983,MATCH($A627,ESLData!$B$1:$B$9983,0))</f>
        <v>21000</v>
      </c>
      <c r="G627" s="541">
        <f>HLOOKUP("start",ESLData!H$1:H$9983,MATCH($A627,ESLData!$B$1:$B$9983,0))</f>
        <v>21067.42</v>
      </c>
    </row>
    <row r="628" spans="1:7" x14ac:dyDescent="0.2">
      <c r="A628" s="540">
        <v>35171</v>
      </c>
      <c r="C628" s="541">
        <f>HLOOKUP("start",ESLData!E$1:E$9983,MATCH($A628,ESLData!$B$1:$B$9983,0))</f>
        <v>14075.59</v>
      </c>
      <c r="E628" s="541">
        <f>HLOOKUP("start",ESLData!F$1:F$9983,MATCH($A628,ESLData!$B$1:$B$9983,0))</f>
        <v>15205</v>
      </c>
      <c r="G628" s="541">
        <f>HLOOKUP("start",ESLData!H$1:H$9983,MATCH($A628,ESLData!$B$1:$B$9983,0))</f>
        <v>12209.82</v>
      </c>
    </row>
    <row r="629" spans="1:7" x14ac:dyDescent="0.2">
      <c r="A629" s="540">
        <v>35180</v>
      </c>
      <c r="C629" s="541">
        <f>HLOOKUP("start",ESLData!E$1:E$9983,MATCH($A629,ESLData!$B$1:$B$9983,0))</f>
        <v>39.729999999999997</v>
      </c>
      <c r="E629" s="541">
        <f>HLOOKUP("start",ESLData!F$1:F$9983,MATCH($A629,ESLData!$B$1:$B$9983,0))</f>
        <v>400</v>
      </c>
      <c r="G629" s="541">
        <f>HLOOKUP("start",ESLData!H$1:H$9983,MATCH($A629,ESLData!$B$1:$B$9983,0))</f>
        <v>475.87</v>
      </c>
    </row>
    <row r="630" spans="1:7" x14ac:dyDescent="0.2">
      <c r="A630" s="540">
        <v>35181</v>
      </c>
      <c r="C630" s="541">
        <f>HLOOKUP("start",ESLData!E$1:E$9983,MATCH($A630,ESLData!$B$1:$B$9983,0))</f>
        <v>712.63</v>
      </c>
      <c r="E630" s="541">
        <f>HLOOKUP("start",ESLData!F$1:F$9983,MATCH($A630,ESLData!$B$1:$B$9983,0))</f>
        <v>600</v>
      </c>
      <c r="G630" s="541">
        <f>HLOOKUP("start",ESLData!H$1:H$9983,MATCH($A630,ESLData!$B$1:$B$9983,0))</f>
        <v>536.98</v>
      </c>
    </row>
    <row r="631" spans="1:7" x14ac:dyDescent="0.2">
      <c r="A631" s="540">
        <v>35182</v>
      </c>
      <c r="C631" s="541">
        <f>HLOOKUP("start",ESLData!E$1:E$9983,MATCH($A631,ESLData!$B$1:$B$9983,0))</f>
        <v>346.95</v>
      </c>
      <c r="E631" s="541">
        <f>HLOOKUP("start",ESLData!F$1:F$9983,MATCH($A631,ESLData!$B$1:$B$9983,0))</f>
        <v>600</v>
      </c>
      <c r="G631" s="541">
        <f>HLOOKUP("start",ESLData!H$1:H$9983,MATCH($A631,ESLData!$B$1:$B$9983,0))</f>
        <v>0</v>
      </c>
    </row>
    <row r="632" spans="1:7" x14ac:dyDescent="0.2">
      <c r="A632" s="540">
        <v>35183</v>
      </c>
      <c r="C632" s="541">
        <f>HLOOKUP("start",ESLData!E$1:E$9983,MATCH($A632,ESLData!$B$1:$B$9983,0))</f>
        <v>334.56</v>
      </c>
      <c r="E632" s="541">
        <f>HLOOKUP("start",ESLData!F$1:F$9983,MATCH($A632,ESLData!$B$1:$B$9983,0))</f>
        <v>300</v>
      </c>
      <c r="G632" s="541">
        <f>HLOOKUP("start",ESLData!H$1:H$9983,MATCH($A632,ESLData!$B$1:$B$9983,0))</f>
        <v>52.15</v>
      </c>
    </row>
    <row r="633" spans="1:7" x14ac:dyDescent="0.2">
      <c r="A633" s="540">
        <v>35184</v>
      </c>
      <c r="C633" s="541">
        <f>HLOOKUP("start",ESLData!E$1:E$9983,MATCH($A633,ESLData!$B$1:$B$9983,0))</f>
        <v>2542.2800000000002</v>
      </c>
      <c r="E633" s="541">
        <f>HLOOKUP("start",ESLData!F$1:F$9983,MATCH($A633,ESLData!$B$1:$B$9983,0))</f>
        <v>1300</v>
      </c>
      <c r="G633" s="541">
        <f>HLOOKUP("start",ESLData!H$1:H$9983,MATCH($A633,ESLData!$B$1:$B$9983,0))</f>
        <v>1768.75</v>
      </c>
    </row>
    <row r="634" spans="1:7" x14ac:dyDescent="0.2">
      <c r="A634" s="540">
        <v>35185</v>
      </c>
      <c r="C634" s="541">
        <f>HLOOKUP("start",ESLData!E$1:E$9983,MATCH($A634,ESLData!$B$1:$B$9983,0))</f>
        <v>0</v>
      </c>
      <c r="E634" s="541">
        <f>HLOOKUP("start",ESLData!F$1:F$9983,MATCH($A634,ESLData!$B$1:$B$9983,0))</f>
        <v>250</v>
      </c>
      <c r="G634" s="541">
        <f>HLOOKUP("start",ESLData!H$1:H$9983,MATCH($A634,ESLData!$B$1:$B$9983,0))</f>
        <v>196.04</v>
      </c>
    </row>
    <row r="635" spans="1:7" x14ac:dyDescent="0.2">
      <c r="A635" s="540">
        <v>35186</v>
      </c>
      <c r="C635" s="541">
        <f>HLOOKUP("start",ESLData!E$1:E$9983,MATCH($A635,ESLData!$B$1:$B$9983,0))</f>
        <v>0</v>
      </c>
      <c r="E635" s="541">
        <f>HLOOKUP("start",ESLData!F$1:F$9983,MATCH($A635,ESLData!$B$1:$B$9983,0))</f>
        <v>150</v>
      </c>
      <c r="G635" s="541">
        <f>HLOOKUP("start",ESLData!H$1:H$9983,MATCH($A635,ESLData!$B$1:$B$9983,0))</f>
        <v>147.94</v>
      </c>
    </row>
    <row r="636" spans="1:7" x14ac:dyDescent="0.2">
      <c r="A636" s="540">
        <v>35187</v>
      </c>
      <c r="C636" s="541">
        <f>HLOOKUP("start",ESLData!E$1:E$9983,MATCH($A636,ESLData!$B$1:$B$9983,0))</f>
        <v>-73.2</v>
      </c>
      <c r="E636" s="541">
        <f>HLOOKUP("start",ESLData!F$1:F$9983,MATCH($A636,ESLData!$B$1:$B$9983,0))</f>
        <v>750</v>
      </c>
      <c r="G636" s="541">
        <f>HLOOKUP("start",ESLData!H$1:H$9983,MATCH($A636,ESLData!$B$1:$B$9983,0))</f>
        <v>224.79</v>
      </c>
    </row>
    <row r="637" spans="1:7" x14ac:dyDescent="0.2">
      <c r="A637" s="540">
        <v>35188</v>
      </c>
      <c r="C637" s="541">
        <f>HLOOKUP("start",ESLData!E$1:E$9983,MATCH($A637,ESLData!$B$1:$B$9983,0))</f>
        <v>18824.04</v>
      </c>
      <c r="E637" s="541">
        <f>HLOOKUP("start",ESLData!F$1:F$9983,MATCH($A637,ESLData!$B$1:$B$9983,0))</f>
        <v>15000</v>
      </c>
      <c r="G637" s="541">
        <f>HLOOKUP("start",ESLData!H$1:H$9983,MATCH($A637,ESLData!$B$1:$B$9983,0))</f>
        <v>17648.43</v>
      </c>
    </row>
    <row r="638" spans="1:7" x14ac:dyDescent="0.2">
      <c r="A638" s="540">
        <v>35172</v>
      </c>
      <c r="C638" s="541">
        <f>HLOOKUP("start",ESLData!E$1:E$9983,MATCH($A638,ESLData!$B$1:$B$9983,0))</f>
        <v>14733.48</v>
      </c>
      <c r="E638" s="541">
        <f>HLOOKUP("start",ESLData!F$1:F$9983,MATCH($A638,ESLData!$B$1:$B$9983,0))</f>
        <v>17000</v>
      </c>
      <c r="G638" s="541">
        <f>HLOOKUP("start",ESLData!H$1:H$9983,MATCH($A638,ESLData!$B$1:$B$9983,0))</f>
        <v>13294.25</v>
      </c>
    </row>
    <row r="639" spans="1:7" x14ac:dyDescent="0.2">
      <c r="A639" s="540">
        <v>35173</v>
      </c>
      <c r="C639" s="541">
        <f>HLOOKUP("start",ESLData!E$1:E$9983,MATCH($A639,ESLData!$B$1:$B$9983,0))</f>
        <v>9265.07</v>
      </c>
      <c r="E639" s="541">
        <f>HLOOKUP("start",ESLData!F$1:F$9983,MATCH($A639,ESLData!$B$1:$B$9983,0))</f>
        <v>15000</v>
      </c>
      <c r="G639" s="541">
        <f>HLOOKUP("start",ESLData!H$1:H$9983,MATCH($A639,ESLData!$B$1:$B$9983,0))</f>
        <v>7453.15</v>
      </c>
    </row>
    <row r="640" spans="1:7" x14ac:dyDescent="0.2">
      <c r="A640" s="540">
        <v>35174</v>
      </c>
      <c r="C640" s="541">
        <f>HLOOKUP("start",ESLData!E$1:E$9983,MATCH($A640,ESLData!$B$1:$B$9983,0))</f>
        <v>0</v>
      </c>
      <c r="E640" s="541">
        <f>HLOOKUP("start",ESLData!F$1:F$9983,MATCH($A640,ESLData!$B$1:$B$9983,0))</f>
        <v>0</v>
      </c>
      <c r="G640" s="541">
        <f>HLOOKUP("start",ESLData!H$1:H$9983,MATCH($A640,ESLData!$B$1:$B$9983,0))</f>
        <v>0</v>
      </c>
    </row>
    <row r="641" spans="1:7" x14ac:dyDescent="0.2">
      <c r="A641" s="540">
        <v>35175</v>
      </c>
      <c r="C641" s="541">
        <f>HLOOKUP("start",ESLData!E$1:E$9983,MATCH($A641,ESLData!$B$1:$B$9983,0))</f>
        <v>2526.66</v>
      </c>
      <c r="E641" s="541">
        <f>HLOOKUP("start",ESLData!F$1:F$9983,MATCH($A641,ESLData!$B$1:$B$9983,0))</f>
        <v>5000</v>
      </c>
      <c r="G641" s="541">
        <f>HLOOKUP("start",ESLData!H$1:H$9983,MATCH($A641,ESLData!$B$1:$B$9983,0))</f>
        <v>6142.58</v>
      </c>
    </row>
    <row r="642" spans="1:7" x14ac:dyDescent="0.2">
      <c r="A642" s="540">
        <v>35177</v>
      </c>
      <c r="C642" s="541">
        <f>HLOOKUP("start",ESLData!E$1:E$9983,MATCH($A642,ESLData!$B$1:$B$9983,0))</f>
        <v>11482.67</v>
      </c>
      <c r="E642" s="541">
        <f>HLOOKUP("start",ESLData!F$1:F$9983,MATCH($A642,ESLData!$B$1:$B$9983,0))</f>
        <v>20000</v>
      </c>
      <c r="G642" s="541">
        <f>HLOOKUP("start",ESLData!H$1:H$9983,MATCH($A642,ESLData!$B$1:$B$9983,0))</f>
        <v>10412.07</v>
      </c>
    </row>
    <row r="643" spans="1:7" x14ac:dyDescent="0.2">
      <c r="A643" s="540">
        <v>35190</v>
      </c>
      <c r="C643" s="541">
        <f>HLOOKUP("start",ESLData!E$1:E$9983,MATCH($A643,ESLData!$B$1:$B$9983,0))</f>
        <v>99.57</v>
      </c>
      <c r="E643" s="541">
        <f>HLOOKUP("start",ESLData!F$1:F$9983,MATCH($A643,ESLData!$B$1:$B$9983,0))</f>
        <v>0</v>
      </c>
      <c r="G643" s="541">
        <f>HLOOKUP("start",ESLData!H$1:H$9983,MATCH($A643,ESLData!$B$1:$B$9983,0))</f>
        <v>1771.41</v>
      </c>
    </row>
    <row r="644" spans="1:7" x14ac:dyDescent="0.2">
      <c r="A644" s="540">
        <v>35192</v>
      </c>
      <c r="C644" s="541">
        <f>HLOOKUP("start",ESLData!E$1:E$9983,MATCH($A644,ESLData!$B$1:$B$9983,0))</f>
        <v>0</v>
      </c>
      <c r="E644" s="541">
        <f>HLOOKUP("start",ESLData!F$1:F$9983,MATCH($A644,ESLData!$B$1:$B$9983,0))</f>
        <v>0</v>
      </c>
      <c r="G644" s="541">
        <f>HLOOKUP("start",ESLData!H$1:H$9983,MATCH($A644,ESLData!$B$1:$B$9983,0))</f>
        <v>1900.97</v>
      </c>
    </row>
    <row r="645" spans="1:7" x14ac:dyDescent="0.2">
      <c r="A645" s="540">
        <v>35195</v>
      </c>
      <c r="C645" s="541">
        <f>HLOOKUP("start",ESLData!E$1:E$9983,MATCH($A645,ESLData!$B$1:$B$9983,0))</f>
        <v>411.28</v>
      </c>
      <c r="E645" s="541">
        <f>HLOOKUP("start",ESLData!F$1:F$9983,MATCH($A645,ESLData!$B$1:$B$9983,0))</f>
        <v>0</v>
      </c>
      <c r="G645" s="541">
        <f>HLOOKUP("start",ESLData!H$1:H$9983,MATCH($A645,ESLData!$B$1:$B$9983,0))</f>
        <v>0</v>
      </c>
    </row>
    <row r="646" spans="1:7" x14ac:dyDescent="0.2">
      <c r="A646" s="540">
        <v>35196</v>
      </c>
      <c r="C646" s="541">
        <f>HLOOKUP("start",ESLData!E$1:E$9983,MATCH($A646,ESLData!$B$1:$B$9983,0))</f>
        <v>17861.93</v>
      </c>
      <c r="E646" s="541">
        <f>HLOOKUP("start",ESLData!F$1:F$9983,MATCH($A646,ESLData!$B$1:$B$9983,0))</f>
        <v>60000</v>
      </c>
      <c r="G646" s="541">
        <f>HLOOKUP("start",ESLData!H$1:H$9983,MATCH($A646,ESLData!$B$1:$B$9983,0))</f>
        <v>41609.69</v>
      </c>
    </row>
    <row r="647" spans="1:7" x14ac:dyDescent="0.2">
      <c r="A647" s="540">
        <v>35197</v>
      </c>
      <c r="C647" s="541">
        <f>HLOOKUP("start",ESLData!E$1:E$9983,MATCH($A647,ESLData!$B$1:$B$9983,0))</f>
        <v>0</v>
      </c>
      <c r="E647" s="541">
        <f>HLOOKUP("start",ESLData!F$1:F$9983,MATCH($A647,ESLData!$B$1:$B$9983,0))</f>
        <v>0</v>
      </c>
      <c r="G647" s="541">
        <f>HLOOKUP("start",ESLData!H$1:H$9983,MATCH($A647,ESLData!$B$1:$B$9983,0))</f>
        <v>0</v>
      </c>
    </row>
    <row r="648" spans="1:7" x14ac:dyDescent="0.2">
      <c r="A648" s="540">
        <v>35199</v>
      </c>
      <c r="C648" s="541">
        <f>HLOOKUP("start",ESLData!E$1:E$9983,MATCH($A648,ESLData!$B$1:$B$9983,0))</f>
        <v>0</v>
      </c>
      <c r="E648" s="541">
        <f>HLOOKUP("start",ESLData!F$1:F$9983,MATCH($A648,ESLData!$B$1:$B$9983,0))</f>
        <v>0</v>
      </c>
      <c r="G648" s="541">
        <f>HLOOKUP("start",ESLData!H$1:H$9983,MATCH($A648,ESLData!$B$1:$B$9983,0))</f>
        <v>780.97</v>
      </c>
    </row>
    <row r="649" spans="1:7" x14ac:dyDescent="0.2">
      <c r="A649" s="540">
        <v>35198</v>
      </c>
      <c r="C649" s="541">
        <f>HLOOKUP("start",ESLData!E$1:E$9983,MATCH($A649,ESLData!$B$1:$B$9983,0))</f>
        <v>0</v>
      </c>
      <c r="E649" s="541">
        <f>HLOOKUP("start",ESLData!F$1:F$9983,MATCH($A649,ESLData!$B$1:$B$9983,0))</f>
        <v>5000</v>
      </c>
      <c r="G649" s="541">
        <f>HLOOKUP("start",ESLData!H$1:H$9983,MATCH($A649,ESLData!$B$1:$B$9983,0))</f>
        <v>11438.24</v>
      </c>
    </row>
    <row r="650" spans="1:7" x14ac:dyDescent="0.2">
      <c r="A650" s="540">
        <v>35203</v>
      </c>
      <c r="C650" s="541">
        <f>HLOOKUP("start",ESLData!E$1:E$9983,MATCH($A650,ESLData!$B$1:$B$9983,0))</f>
        <v>2320.81</v>
      </c>
      <c r="E650" s="541">
        <f>HLOOKUP("start",ESLData!F$1:F$9983,MATCH($A650,ESLData!$B$1:$B$9983,0))</f>
        <v>1500</v>
      </c>
      <c r="G650" s="541">
        <f>HLOOKUP("start",ESLData!H$1:H$9983,MATCH($A650,ESLData!$B$1:$B$9983,0))</f>
        <v>472.19</v>
      </c>
    </row>
    <row r="651" spans="1:7" x14ac:dyDescent="0.2">
      <c r="A651" s="540">
        <v>35204</v>
      </c>
      <c r="C651" s="541">
        <f>HLOOKUP("start",ESLData!E$1:E$9983,MATCH($A651,ESLData!$B$1:$B$9983,0))</f>
        <v>361.92</v>
      </c>
      <c r="E651" s="541">
        <f>HLOOKUP("start",ESLData!F$1:F$9983,MATCH($A651,ESLData!$B$1:$B$9983,0))</f>
        <v>5000</v>
      </c>
      <c r="G651" s="541">
        <f>HLOOKUP("start",ESLData!H$1:H$9983,MATCH($A651,ESLData!$B$1:$B$9983,0))</f>
        <v>0</v>
      </c>
    </row>
    <row r="652" spans="1:7" x14ac:dyDescent="0.2">
      <c r="A652" s="540">
        <v>35540</v>
      </c>
      <c r="C652" s="541">
        <f>HLOOKUP("start",ESLData!E$1:E$9983,MATCH($A652,ESLData!$B$1:$B$9983,0))</f>
        <v>10428.9</v>
      </c>
      <c r="E652" s="541">
        <f>HLOOKUP("start",ESLData!F$1:F$9983,MATCH($A652,ESLData!$B$1:$B$9983,0))</f>
        <v>15000</v>
      </c>
      <c r="G652" s="541">
        <f>HLOOKUP("start",ESLData!H$1:H$9983,MATCH($A652,ESLData!$B$1:$B$9983,0))</f>
        <v>14917.62</v>
      </c>
    </row>
    <row r="653" spans="1:7" x14ac:dyDescent="0.2">
      <c r="A653" s="540">
        <v>35545</v>
      </c>
      <c r="C653" s="541">
        <f>HLOOKUP("start",ESLData!E$1:E$9983,MATCH($A653,ESLData!$B$1:$B$9983,0))</f>
        <v>5701.14</v>
      </c>
      <c r="E653" s="541">
        <f>HLOOKUP("start",ESLData!F$1:F$9983,MATCH($A653,ESLData!$B$1:$B$9983,0))</f>
        <v>58000</v>
      </c>
      <c r="G653" s="541">
        <f>HLOOKUP("start",ESLData!H$1:H$9983,MATCH($A653,ESLData!$B$1:$B$9983,0))</f>
        <v>17121.330000000002</v>
      </c>
    </row>
    <row r="654" spans="1:7" x14ac:dyDescent="0.2">
      <c r="A654" s="540">
        <v>35510</v>
      </c>
      <c r="C654" s="541">
        <f>HLOOKUP("start",ESLData!E$1:E$9983,MATCH($A654,ESLData!$B$1:$B$9983,0))</f>
        <v>274654.15000000002</v>
      </c>
      <c r="E654" s="541">
        <f>HLOOKUP("start",ESLData!F$1:F$9983,MATCH($A654,ESLData!$B$1:$B$9983,0))</f>
        <v>307275</v>
      </c>
      <c r="G654" s="541">
        <f>HLOOKUP("start",ESLData!H$1:H$9983,MATCH($A654,ESLData!$B$1:$B$9983,0))</f>
        <v>304587.87</v>
      </c>
    </row>
    <row r="655" spans="1:7" x14ac:dyDescent="0.2">
      <c r="A655" s="540">
        <v>35515</v>
      </c>
      <c r="C655" s="541">
        <f>HLOOKUP("start",ESLData!E$1:E$9983,MATCH($A655,ESLData!$B$1:$B$9983,0))</f>
        <v>9477.25</v>
      </c>
      <c r="E655" s="541">
        <f>HLOOKUP("start",ESLData!F$1:F$9983,MATCH($A655,ESLData!$B$1:$B$9983,0))</f>
        <v>20000</v>
      </c>
      <c r="G655" s="541">
        <f>HLOOKUP("start",ESLData!H$1:H$9983,MATCH($A655,ESLData!$B$1:$B$9983,0))</f>
        <v>45529.62</v>
      </c>
    </row>
    <row r="656" spans="1:7" x14ac:dyDescent="0.2">
      <c r="A656" s="540">
        <v>35520</v>
      </c>
      <c r="C656" s="541">
        <f>HLOOKUP("start",ESLData!E$1:E$9983,MATCH($A656,ESLData!$B$1:$B$9983,0))</f>
        <v>45351.7</v>
      </c>
      <c r="E656" s="541">
        <f>HLOOKUP("start",ESLData!F$1:F$9983,MATCH($A656,ESLData!$B$1:$B$9983,0))</f>
        <v>40612</v>
      </c>
      <c r="G656" s="541">
        <f>HLOOKUP("start",ESLData!H$1:H$9983,MATCH($A656,ESLData!$B$1:$B$9983,0))</f>
        <v>12320.31</v>
      </c>
    </row>
    <row r="657" spans="1:7" x14ac:dyDescent="0.2">
      <c r="A657" s="540">
        <v>35525</v>
      </c>
      <c r="C657" s="541">
        <f>HLOOKUP("start",ESLData!E$1:E$9983,MATCH($A657,ESLData!$B$1:$B$9983,0))</f>
        <v>56090.55</v>
      </c>
      <c r="E657" s="541">
        <f>HLOOKUP("start",ESLData!F$1:F$9983,MATCH($A657,ESLData!$B$1:$B$9983,0))</f>
        <v>190204</v>
      </c>
      <c r="G657" s="541">
        <f>HLOOKUP("start",ESLData!H$1:H$9983,MATCH($A657,ESLData!$B$1:$B$9983,0))</f>
        <v>117459.54</v>
      </c>
    </row>
    <row r="658" spans="1:7" x14ac:dyDescent="0.2">
      <c r="A658" s="540">
        <v>35530</v>
      </c>
      <c r="C658" s="541">
        <f>HLOOKUP("start",ESLData!E$1:E$9983,MATCH($A658,ESLData!$B$1:$B$9983,0))</f>
        <v>758.51</v>
      </c>
      <c r="E658" s="541">
        <f>HLOOKUP("start",ESLData!F$1:F$9983,MATCH($A658,ESLData!$B$1:$B$9983,0))</f>
        <v>10000</v>
      </c>
      <c r="G658" s="541">
        <f>HLOOKUP("start",ESLData!H$1:H$9983,MATCH($A658,ESLData!$B$1:$B$9983,0))</f>
        <v>3906.02</v>
      </c>
    </row>
    <row r="659" spans="1:7" x14ac:dyDescent="0.2">
      <c r="A659" s="540">
        <v>35535</v>
      </c>
      <c r="C659" s="541">
        <f>HLOOKUP("start",ESLData!E$1:E$9983,MATCH($A659,ESLData!$B$1:$B$9983,0))</f>
        <v>4645.97</v>
      </c>
      <c r="E659" s="541">
        <f>HLOOKUP("start",ESLData!F$1:F$9983,MATCH($A659,ESLData!$B$1:$B$9983,0))</f>
        <v>12000</v>
      </c>
      <c r="G659" s="541">
        <f>HLOOKUP("start",ESLData!H$1:H$9983,MATCH($A659,ESLData!$B$1:$B$9983,0))</f>
        <v>5618.08</v>
      </c>
    </row>
    <row r="660" spans="1:7" x14ac:dyDescent="0.2">
      <c r="A660" s="540">
        <v>35000</v>
      </c>
      <c r="C660" s="541">
        <f>HLOOKUP("start",ESLData!E$1:E$9983,MATCH($A660,ESLData!$B$1:$B$9983,0))</f>
        <v>0</v>
      </c>
      <c r="E660" s="541">
        <f>HLOOKUP("start",ESLData!F$1:F$9983,MATCH($A660,ESLData!$B$1:$B$9983,0))</f>
        <v>0</v>
      </c>
      <c r="G660" s="541">
        <f>HLOOKUP("start",ESLData!H$1:H$9983,MATCH($A660,ESLData!$B$1:$B$9983,0))</f>
        <v>0</v>
      </c>
    </row>
    <row r="661" spans="1:7" x14ac:dyDescent="0.2">
      <c r="A661" s="540">
        <v>35010</v>
      </c>
      <c r="C661" s="541">
        <f>HLOOKUP("start",ESLData!E$1:E$9983,MATCH($A661,ESLData!$B$1:$B$9983,0))</f>
        <v>1130.76</v>
      </c>
      <c r="E661" s="541">
        <f>HLOOKUP("start",ESLData!F$1:F$9983,MATCH($A661,ESLData!$B$1:$B$9983,0))</f>
        <v>1500</v>
      </c>
      <c r="G661" s="541">
        <f>HLOOKUP("start",ESLData!H$1:H$9983,MATCH($A661,ESLData!$B$1:$B$9983,0))</f>
        <v>1347.66</v>
      </c>
    </row>
    <row r="662" spans="1:7" x14ac:dyDescent="0.2">
      <c r="A662" s="540">
        <v>35020</v>
      </c>
      <c r="C662" s="541">
        <f>HLOOKUP("start",ESLData!E$1:E$9983,MATCH($A662,ESLData!$B$1:$B$9983,0))</f>
        <v>0</v>
      </c>
      <c r="E662" s="541">
        <f>HLOOKUP("start",ESLData!F$1:F$9983,MATCH($A662,ESLData!$B$1:$B$9983,0))</f>
        <v>50</v>
      </c>
      <c r="G662" s="541">
        <f>HLOOKUP("start",ESLData!H$1:H$9983,MATCH($A662,ESLData!$B$1:$B$9983,0))</f>
        <v>0</v>
      </c>
    </row>
    <row r="663" spans="1:7" x14ac:dyDescent="0.2">
      <c r="A663" s="540">
        <v>35030</v>
      </c>
      <c r="C663" s="541">
        <f>HLOOKUP("start",ESLData!E$1:E$9983,MATCH($A663,ESLData!$B$1:$B$9983,0))</f>
        <v>0</v>
      </c>
      <c r="E663" s="541">
        <f>HLOOKUP("start",ESLData!F$1:F$9983,MATCH($A663,ESLData!$B$1:$B$9983,0))</f>
        <v>250</v>
      </c>
      <c r="G663" s="541">
        <f>HLOOKUP("start",ESLData!H$1:H$9983,MATCH($A663,ESLData!$B$1:$B$9983,0))</f>
        <v>0</v>
      </c>
    </row>
    <row r="664" spans="1:7" x14ac:dyDescent="0.2">
      <c r="A664" s="540">
        <v>35040</v>
      </c>
      <c r="C664" s="541">
        <f>HLOOKUP("start",ESLData!E$1:E$9983,MATCH($A664,ESLData!$B$1:$B$9983,0))</f>
        <v>1752.93</v>
      </c>
      <c r="E664" s="541">
        <f>HLOOKUP("start",ESLData!F$1:F$9983,MATCH($A664,ESLData!$B$1:$B$9983,0))</f>
        <v>2500</v>
      </c>
      <c r="G664" s="541">
        <f>HLOOKUP("start",ESLData!H$1:H$9983,MATCH($A664,ESLData!$B$1:$B$9983,0))</f>
        <v>2609.4899999999998</v>
      </c>
    </row>
    <row r="665" spans="1:7" x14ac:dyDescent="0.2">
      <c r="A665" s="540">
        <v>35050</v>
      </c>
      <c r="C665" s="541">
        <f>HLOOKUP("start",ESLData!E$1:E$9983,MATCH($A665,ESLData!$B$1:$B$9983,0))</f>
        <v>32876.800000000003</v>
      </c>
      <c r="E665" s="541">
        <f>HLOOKUP("start",ESLData!F$1:F$9983,MATCH($A665,ESLData!$B$1:$B$9983,0))</f>
        <v>36688</v>
      </c>
      <c r="G665" s="541">
        <f>HLOOKUP("start",ESLData!H$1:H$9983,MATCH($A665,ESLData!$B$1:$B$9983,0))</f>
        <v>1627.73</v>
      </c>
    </row>
    <row r="666" spans="1:7" x14ac:dyDescent="0.2">
      <c r="A666" s="540">
        <v>35060</v>
      </c>
      <c r="C666" s="541">
        <f>HLOOKUP("start",ESLData!E$1:E$9983,MATCH($A666,ESLData!$B$1:$B$9983,0))</f>
        <v>0</v>
      </c>
      <c r="E666" s="541">
        <f>HLOOKUP("start",ESLData!F$1:F$9983,MATCH($A666,ESLData!$B$1:$B$9983,0))</f>
        <v>0</v>
      </c>
      <c r="G666" s="541">
        <f>HLOOKUP("start",ESLData!H$1:H$9983,MATCH($A666,ESLData!$B$1:$B$9983,0))</f>
        <v>0</v>
      </c>
    </row>
    <row r="667" spans="1:7" x14ac:dyDescent="0.2">
      <c r="A667" s="540">
        <v>35070</v>
      </c>
      <c r="C667" s="541">
        <f>HLOOKUP("start",ESLData!E$1:E$9983,MATCH($A667,ESLData!$B$1:$B$9983,0))</f>
        <v>130.43</v>
      </c>
      <c r="E667" s="541">
        <f>HLOOKUP("start",ESLData!F$1:F$9983,MATCH($A667,ESLData!$B$1:$B$9983,0))</f>
        <v>2000</v>
      </c>
      <c r="G667" s="541">
        <f>HLOOKUP("start",ESLData!H$1:H$9983,MATCH($A667,ESLData!$B$1:$B$9983,0))</f>
        <v>0</v>
      </c>
    </row>
    <row r="668" spans="1:7" x14ac:dyDescent="0.2">
      <c r="A668" s="540">
        <v>35080</v>
      </c>
      <c r="C668" s="541">
        <f>HLOOKUP("start",ESLData!E$1:E$9983,MATCH($A668,ESLData!$B$1:$B$9983,0))</f>
        <v>17937.04</v>
      </c>
      <c r="E668" s="541">
        <f>HLOOKUP("start",ESLData!F$1:F$9983,MATCH($A668,ESLData!$B$1:$B$9983,0))</f>
        <v>15800</v>
      </c>
      <c r="G668" s="541">
        <f>HLOOKUP("start",ESLData!H$1:H$9983,MATCH($A668,ESLData!$B$1:$B$9983,0))</f>
        <v>13715.57</v>
      </c>
    </row>
    <row r="669" spans="1:7" x14ac:dyDescent="0.2">
      <c r="A669" s="540">
        <v>35550</v>
      </c>
      <c r="C669" s="541">
        <f>HLOOKUP("start",ESLData!E$1:E$9983,MATCH($A669,ESLData!$B$1:$B$9983,0))</f>
        <v>129.88</v>
      </c>
      <c r="E669" s="541">
        <f>HLOOKUP("start",ESLData!F$1:F$9983,MATCH($A669,ESLData!$B$1:$B$9983,0))</f>
        <v>7000</v>
      </c>
      <c r="G669" s="541">
        <f>HLOOKUP("start",ESLData!H$1:H$9983,MATCH($A669,ESLData!$B$1:$B$9983,0))</f>
        <v>6803.8</v>
      </c>
    </row>
    <row r="670" spans="1:7" x14ac:dyDescent="0.2">
      <c r="A670" s="540">
        <v>35900</v>
      </c>
      <c r="C670" s="541">
        <f>HLOOKUP("start",ESLData!E$1:E$9983,MATCH($A670,ESLData!$B$1:$B$9983,0))</f>
        <v>28747.57</v>
      </c>
      <c r="E670" s="541">
        <f>HLOOKUP("start",ESLData!F$1:F$9983,MATCH($A670,ESLData!$B$1:$B$9983,0))</f>
        <v>38878</v>
      </c>
      <c r="G670" s="541">
        <f>HLOOKUP("start",ESLData!H$1:H$9983,MATCH($A670,ESLData!$B$1:$B$9983,0))</f>
        <v>29035.24</v>
      </c>
    </row>
    <row r="671" spans="1:7" x14ac:dyDescent="0.2">
      <c r="A671" s="540">
        <v>35910</v>
      </c>
      <c r="C671" s="541">
        <f>HLOOKUP("start",ESLData!E$1:E$9983,MATCH($A671,ESLData!$B$1:$B$9983,0))</f>
        <v>567.12</v>
      </c>
      <c r="E671" s="541">
        <f>HLOOKUP("start",ESLData!F$1:F$9983,MATCH($A671,ESLData!$B$1:$B$9983,0))</f>
        <v>650</v>
      </c>
      <c r="G671" s="541">
        <f>HLOOKUP("start",ESLData!H$1:H$9983,MATCH($A671,ESLData!$B$1:$B$9983,0))</f>
        <v>663.76</v>
      </c>
    </row>
    <row r="672" spans="1:7" x14ac:dyDescent="0.2">
      <c r="A672" s="540">
        <v>35920</v>
      </c>
      <c r="C672" s="541">
        <f>HLOOKUP("start",ESLData!E$1:E$9983,MATCH($A672,ESLData!$B$1:$B$9983,0))</f>
        <v>394.5</v>
      </c>
      <c r="E672" s="541">
        <f>HLOOKUP("start",ESLData!F$1:F$9983,MATCH($A672,ESLData!$B$1:$B$9983,0))</f>
        <v>1000</v>
      </c>
      <c r="G672" s="541">
        <f>HLOOKUP("start",ESLData!H$1:H$9983,MATCH($A672,ESLData!$B$1:$B$9983,0))</f>
        <v>464.2</v>
      </c>
    </row>
    <row r="673" spans="1:7" x14ac:dyDescent="0.2">
      <c r="A673" s="540">
        <v>35930</v>
      </c>
      <c r="C673" s="541">
        <f>HLOOKUP("start",ESLData!E$1:E$9983,MATCH($A673,ESLData!$B$1:$B$9983,0))</f>
        <v>661.97</v>
      </c>
      <c r="E673" s="541">
        <f>HLOOKUP("start",ESLData!F$1:F$9983,MATCH($A673,ESLData!$B$1:$B$9983,0))</f>
        <v>250</v>
      </c>
      <c r="G673" s="541">
        <f>HLOOKUP("start",ESLData!H$1:H$9983,MATCH($A673,ESLData!$B$1:$B$9983,0))</f>
        <v>81.09</v>
      </c>
    </row>
    <row r="674" spans="1:7" x14ac:dyDescent="0.2">
      <c r="A674" s="540">
        <v>35940</v>
      </c>
      <c r="C674" s="541">
        <f>HLOOKUP("start",ESLData!E$1:E$9983,MATCH($A674,ESLData!$B$1:$B$9983,0))</f>
        <v>1167.92</v>
      </c>
      <c r="E674" s="541">
        <f>HLOOKUP("start",ESLData!F$1:F$9983,MATCH($A674,ESLData!$B$1:$B$9983,0))</f>
        <v>2127</v>
      </c>
      <c r="G674" s="541">
        <f>HLOOKUP("start",ESLData!H$1:H$9983,MATCH($A674,ESLData!$B$1:$B$9983,0))</f>
        <v>875.92</v>
      </c>
    </row>
    <row r="675" spans="1:7" x14ac:dyDescent="0.2">
      <c r="A675" s="540">
        <v>35960</v>
      </c>
      <c r="C675" s="541">
        <f>HLOOKUP("start",ESLData!E$1:E$9983,MATCH($A675,ESLData!$B$1:$B$9983,0))</f>
        <v>0</v>
      </c>
      <c r="E675" s="541">
        <f>HLOOKUP("start",ESLData!F$1:F$9983,MATCH($A675,ESLData!$B$1:$B$9983,0))</f>
        <v>100</v>
      </c>
      <c r="G675" s="541">
        <f>HLOOKUP("start",ESLData!H$1:H$9983,MATCH($A675,ESLData!$B$1:$B$9983,0))</f>
        <v>38.26</v>
      </c>
    </row>
    <row r="676" spans="1:7" x14ac:dyDescent="0.2">
      <c r="A676" s="540">
        <v>35970</v>
      </c>
      <c r="C676" s="541">
        <f>HLOOKUP("start",ESLData!E$1:E$9983,MATCH($A676,ESLData!$B$1:$B$9983,0))</f>
        <v>105</v>
      </c>
      <c r="E676" s="541">
        <f>HLOOKUP("start",ESLData!F$1:F$9983,MATCH($A676,ESLData!$B$1:$B$9983,0))</f>
        <v>1000</v>
      </c>
      <c r="G676" s="541">
        <f>HLOOKUP("start",ESLData!H$1:H$9983,MATCH($A676,ESLData!$B$1:$B$9983,0))</f>
        <v>200</v>
      </c>
    </row>
    <row r="677" spans="1:7" x14ac:dyDescent="0.2">
      <c r="A677" s="540">
        <v>35980</v>
      </c>
      <c r="C677" s="541">
        <f>HLOOKUP("start",ESLData!E$1:E$9983,MATCH($A677,ESLData!$B$1:$B$9983,0))</f>
        <v>7415.84</v>
      </c>
      <c r="E677" s="541">
        <f>HLOOKUP("start",ESLData!F$1:F$9983,MATCH($A677,ESLData!$B$1:$B$9983,0))</f>
        <v>7000</v>
      </c>
      <c r="G677" s="541">
        <f>HLOOKUP("start",ESLData!H$1:H$9983,MATCH($A677,ESLData!$B$1:$B$9983,0))</f>
        <v>7065.72</v>
      </c>
    </row>
    <row r="678" spans="1:7" x14ac:dyDescent="0.2">
      <c r="A678" s="540">
        <v>60000</v>
      </c>
      <c r="C678" s="541">
        <f>HLOOKUP("start",ESLData!E$1:E$9983,MATCH($A678,ESLData!$B$1:$B$9983,0))</f>
        <v>582916.18999999994</v>
      </c>
      <c r="E678" s="541">
        <f>HLOOKUP("start",ESLData!F$1:F$9983,MATCH($A678,ESLData!$B$1:$B$9983,0))</f>
        <v>646374</v>
      </c>
      <c r="G678" s="541">
        <f>HLOOKUP("start",ESLData!H$1:H$9983,MATCH($A678,ESLData!$B$1:$B$9983,0))</f>
        <v>560718.11</v>
      </c>
    </row>
    <row r="679" spans="1:7" x14ac:dyDescent="0.2">
      <c r="A679" s="540">
        <v>60100</v>
      </c>
      <c r="C679" s="541">
        <f>HLOOKUP("start",ESLData!E$1:E$9983,MATCH($A679,ESLData!$B$1:$B$9983,0))</f>
        <v>0</v>
      </c>
      <c r="E679" s="541">
        <f>HLOOKUP("start",ESLData!F$1:F$9983,MATCH($A679,ESLData!$B$1:$B$9983,0))</f>
        <v>0</v>
      </c>
      <c r="G679" s="541">
        <f>HLOOKUP("start",ESLData!H$1:H$9983,MATCH($A679,ESLData!$B$1:$B$9983,0))</f>
        <v>0</v>
      </c>
    </row>
    <row r="680" spans="1:7" x14ac:dyDescent="0.2">
      <c r="A680" s="540">
        <v>60200</v>
      </c>
      <c r="C680" s="541">
        <f>HLOOKUP("start",ESLData!E$1:E$9983,MATCH($A680,ESLData!$B$1:$B$9983,0))</f>
        <v>13012.1</v>
      </c>
      <c r="E680" s="541">
        <f>HLOOKUP("start",ESLData!F$1:F$9983,MATCH($A680,ESLData!$B$1:$B$9983,0))</f>
        <v>50000</v>
      </c>
      <c r="G680" s="541">
        <f>HLOOKUP("start",ESLData!H$1:H$9983,MATCH($A680,ESLData!$B$1:$B$9983,0))</f>
        <v>12778.34</v>
      </c>
    </row>
    <row r="681" spans="1:7" x14ac:dyDescent="0.2">
      <c r="A681" s="540">
        <v>60220</v>
      </c>
      <c r="C681" s="541">
        <f>HLOOKUP("start",ESLData!E$1:E$9983,MATCH($A681,ESLData!$B$1:$B$9983,0))</f>
        <v>0</v>
      </c>
      <c r="E681" s="541">
        <f>HLOOKUP("start",ESLData!F$1:F$9983,MATCH($A681,ESLData!$B$1:$B$9983,0))</f>
        <v>0</v>
      </c>
      <c r="G681" s="541">
        <f>HLOOKUP("start",ESLData!H$1:H$9983,MATCH($A681,ESLData!$B$1:$B$9983,0))</f>
        <v>0</v>
      </c>
    </row>
    <row r="682" spans="1:7" x14ac:dyDescent="0.2">
      <c r="A682" s="540">
        <v>60230</v>
      </c>
      <c r="C682" s="541">
        <f>HLOOKUP("start",ESLData!E$1:E$9983,MATCH($A682,ESLData!$B$1:$B$9983,0))</f>
        <v>0</v>
      </c>
      <c r="E682" s="541">
        <f>HLOOKUP("start",ESLData!F$1:F$9983,MATCH($A682,ESLData!$B$1:$B$9983,0))</f>
        <v>0</v>
      </c>
      <c r="G682" s="541">
        <f>HLOOKUP("start",ESLData!H$1:H$9983,MATCH($A682,ESLData!$B$1:$B$9983,0))</f>
        <v>0</v>
      </c>
    </row>
    <row r="683" spans="1:7" x14ac:dyDescent="0.2">
      <c r="A683" s="540">
        <v>60250</v>
      </c>
      <c r="C683" s="541">
        <f>HLOOKUP("start",ESLData!E$1:E$9983,MATCH($A683,ESLData!$B$1:$B$9983,0))</f>
        <v>32481.68</v>
      </c>
      <c r="E683" s="541">
        <f>HLOOKUP("start",ESLData!F$1:F$9983,MATCH($A683,ESLData!$B$1:$B$9983,0))</f>
        <v>35618</v>
      </c>
      <c r="G683" s="541">
        <f>HLOOKUP("start",ESLData!H$1:H$9983,MATCH($A683,ESLData!$B$1:$B$9983,0))</f>
        <v>33043.49</v>
      </c>
    </row>
    <row r="684" spans="1:7" x14ac:dyDescent="0.2">
      <c r="A684" s="540">
        <v>60300</v>
      </c>
      <c r="C684" s="541">
        <f>HLOOKUP("start",ESLData!E$1:E$9983,MATCH($A684,ESLData!$B$1:$B$9983,0))</f>
        <v>2452.17</v>
      </c>
      <c r="E684" s="541">
        <f>HLOOKUP("start",ESLData!F$1:F$9983,MATCH($A684,ESLData!$B$1:$B$9983,0))</f>
        <v>2820</v>
      </c>
      <c r="G684" s="541">
        <f>HLOOKUP("start",ESLData!H$1:H$9983,MATCH($A684,ESLData!$B$1:$B$9983,0))</f>
        <v>1579.13</v>
      </c>
    </row>
    <row r="685" spans="1:7" x14ac:dyDescent="0.2">
      <c r="A685" s="540">
        <v>60400</v>
      </c>
      <c r="C685" s="541">
        <f>HLOOKUP("start",ESLData!E$1:E$9983,MATCH($A685,ESLData!$B$1:$B$9983,0))</f>
        <v>4299.1400000000003</v>
      </c>
      <c r="E685" s="541">
        <f>HLOOKUP("start",ESLData!F$1:F$9983,MATCH($A685,ESLData!$B$1:$B$9983,0))</f>
        <v>5000</v>
      </c>
      <c r="G685" s="541">
        <f>HLOOKUP("start",ESLData!H$1:H$9983,MATCH($A685,ESLData!$B$1:$B$9983,0))</f>
        <v>4560.58</v>
      </c>
    </row>
    <row r="686" spans="1:7" x14ac:dyDescent="0.2">
      <c r="A686" s="540">
        <v>60450</v>
      </c>
      <c r="C686" s="541">
        <f>HLOOKUP("start",ESLData!E$1:E$9983,MATCH($A686,ESLData!$B$1:$B$9983,0))</f>
        <v>918.25</v>
      </c>
      <c r="E686" s="541">
        <f>HLOOKUP("start",ESLData!F$1:F$9983,MATCH($A686,ESLData!$B$1:$B$9983,0))</f>
        <v>1500</v>
      </c>
      <c r="G686" s="541">
        <f>HLOOKUP("start",ESLData!H$1:H$9983,MATCH($A686,ESLData!$B$1:$B$9983,0))</f>
        <v>972.4</v>
      </c>
    </row>
    <row r="687" spans="1:7" x14ac:dyDescent="0.2">
      <c r="A687" s="540">
        <v>60500</v>
      </c>
      <c r="C687" s="541">
        <f>HLOOKUP("start",ESLData!E$1:E$9983,MATCH($A687,ESLData!$B$1:$B$9983,0))</f>
        <v>572.58000000000004</v>
      </c>
      <c r="E687" s="541">
        <f>HLOOKUP("start",ESLData!F$1:F$9983,MATCH($A687,ESLData!$B$1:$B$9983,0))</f>
        <v>1000</v>
      </c>
      <c r="G687" s="541">
        <f>HLOOKUP("start",ESLData!H$1:H$9983,MATCH($A687,ESLData!$B$1:$B$9983,0))</f>
        <v>926.28</v>
      </c>
    </row>
    <row r="688" spans="1:7" x14ac:dyDescent="0.2">
      <c r="A688" s="540">
        <v>60550</v>
      </c>
      <c r="C688" s="541">
        <f>HLOOKUP("start",ESLData!E$1:E$9983,MATCH($A688,ESLData!$B$1:$B$9983,0))</f>
        <v>5244.49</v>
      </c>
      <c r="E688" s="541">
        <f>HLOOKUP("start",ESLData!F$1:F$9983,MATCH($A688,ESLData!$B$1:$B$9983,0))</f>
        <v>16000</v>
      </c>
      <c r="G688" s="541">
        <f>HLOOKUP("start",ESLData!H$1:H$9983,MATCH($A688,ESLData!$B$1:$B$9983,0))</f>
        <v>8456.59</v>
      </c>
    </row>
    <row r="689" spans="1:9" x14ac:dyDescent="0.2">
      <c r="A689" s="540">
        <v>60600</v>
      </c>
      <c r="C689" s="541">
        <f>HLOOKUP("start",ESLData!E$1:E$9983,MATCH($A689,ESLData!$B$1:$B$9983,0))</f>
        <v>65.13</v>
      </c>
      <c r="E689" s="541">
        <f>HLOOKUP("start",ESLData!F$1:F$9983,MATCH($A689,ESLData!$B$1:$B$9983,0))</f>
        <v>500</v>
      </c>
      <c r="G689" s="541">
        <f>HLOOKUP("start",ESLData!H$1:H$9983,MATCH($A689,ESLData!$B$1:$B$9983,0))</f>
        <v>71.599999999999994</v>
      </c>
    </row>
    <row r="690" spans="1:9" x14ac:dyDescent="0.2">
      <c r="A690" s="540">
        <v>60700</v>
      </c>
      <c r="C690" s="541">
        <f>HLOOKUP("start",ESLData!E$1:E$9983,MATCH($A690,ESLData!$B$1:$B$9983,0))</f>
        <v>1299.95</v>
      </c>
      <c r="E690" s="541">
        <f>HLOOKUP("start",ESLData!F$1:F$9983,MATCH($A690,ESLData!$B$1:$B$9983,0))</f>
        <v>12000</v>
      </c>
      <c r="G690" s="541">
        <f>HLOOKUP("start",ESLData!H$1:H$9983,MATCH($A690,ESLData!$B$1:$B$9983,0))</f>
        <v>962.5</v>
      </c>
    </row>
    <row r="691" spans="1:9" x14ac:dyDescent="0.2">
      <c r="A691" s="540">
        <v>60800</v>
      </c>
      <c r="C691" s="541">
        <f>HLOOKUP("start",ESLData!E$1:E$9983,MATCH($A691,ESLData!$B$1:$B$9983,0))</f>
        <v>3407.99</v>
      </c>
      <c r="E691" s="541">
        <f>HLOOKUP("start",ESLData!F$1:F$9983,MATCH($A691,ESLData!$B$1:$B$9983,0))</f>
        <v>8000</v>
      </c>
      <c r="G691" s="541">
        <f>HLOOKUP("start",ESLData!H$1:H$9983,MATCH($A691,ESLData!$B$1:$B$9983,0))</f>
        <v>3214.62</v>
      </c>
    </row>
    <row r="692" spans="1:9" x14ac:dyDescent="0.2">
      <c r="A692" s="540">
        <v>60805</v>
      </c>
      <c r="C692" s="541">
        <f>HLOOKUP("start",ESLData!E$1:E$9983,MATCH($A692,ESLData!$B$1:$B$9983,0))</f>
        <v>5623.85</v>
      </c>
      <c r="E692" s="541">
        <f>HLOOKUP("start",ESLData!F$1:F$9983,MATCH($A692,ESLData!$B$1:$B$9983,0))</f>
        <v>4000</v>
      </c>
      <c r="G692" s="541">
        <f>HLOOKUP("start",ESLData!H$1:H$9983,MATCH($A692,ESLData!$B$1:$B$9983,0))</f>
        <v>3827.9</v>
      </c>
    </row>
    <row r="693" spans="1:9" x14ac:dyDescent="0.2">
      <c r="A693" s="540">
        <v>60810</v>
      </c>
      <c r="C693" s="541">
        <f>HLOOKUP("start",ESLData!E$1:E$9983,MATCH($A693,ESLData!$B$1:$B$9983,0))</f>
        <v>2650.54</v>
      </c>
      <c r="E693" s="541">
        <f>HLOOKUP("start",ESLData!F$1:F$9983,MATCH($A693,ESLData!$B$1:$B$9983,0))</f>
        <v>7000</v>
      </c>
      <c r="G693" s="541">
        <f>HLOOKUP("start",ESLData!H$1:H$9983,MATCH($A693,ESLData!$B$1:$B$9983,0))</f>
        <v>5492.41</v>
      </c>
    </row>
    <row r="694" spans="1:9" x14ac:dyDescent="0.2">
      <c r="A694" s="540">
        <v>60815</v>
      </c>
      <c r="C694" s="541">
        <f>HLOOKUP("start",ESLData!E$1:E$9983,MATCH($A694,ESLData!$B$1:$B$9983,0))</f>
        <v>10421.23</v>
      </c>
      <c r="E694" s="541">
        <f>HLOOKUP("start",ESLData!F$1:F$9983,MATCH($A694,ESLData!$B$1:$B$9983,0))</f>
        <v>7000</v>
      </c>
      <c r="G694" s="541">
        <f>HLOOKUP("start",ESLData!H$1:H$9983,MATCH($A694,ESLData!$B$1:$B$9983,0))</f>
        <v>6412.01</v>
      </c>
    </row>
    <row r="695" spans="1:9" x14ac:dyDescent="0.2">
      <c r="A695" s="540">
        <v>60820</v>
      </c>
      <c r="C695" s="541">
        <f>HLOOKUP("start",ESLData!E$1:E$9983,MATCH($A695,ESLData!$B$1:$B$9983,0))</f>
        <v>9352.89</v>
      </c>
      <c r="E695" s="541">
        <f>HLOOKUP("start",ESLData!F$1:F$9983,MATCH($A695,ESLData!$B$1:$B$9983,0))</f>
        <v>15000</v>
      </c>
      <c r="G695" s="541">
        <f>HLOOKUP("start",ESLData!H$1:H$9983,MATCH($A695,ESLData!$B$1:$B$9983,0))</f>
        <v>11979.38</v>
      </c>
    </row>
    <row r="696" spans="1:9" x14ac:dyDescent="0.2">
      <c r="A696" s="540">
        <v>60825</v>
      </c>
      <c r="C696" s="541">
        <f>HLOOKUP("start",ESLData!E$1:E$9983,MATCH($A696,ESLData!$B$1:$B$9983,0))</f>
        <v>24090.28</v>
      </c>
      <c r="E696" s="541">
        <f>HLOOKUP("start",ESLData!F$1:F$9983,MATCH($A696,ESLData!$B$1:$B$9983,0))</f>
        <v>0</v>
      </c>
      <c r="G696" s="541">
        <f>HLOOKUP("start",ESLData!H$1:H$9983,MATCH($A696,ESLData!$B$1:$B$9983,0))</f>
        <v>11529.52</v>
      </c>
    </row>
    <row r="697" spans="1:9" x14ac:dyDescent="0.2">
      <c r="A697" s="540">
        <v>60830</v>
      </c>
      <c r="C697" s="541">
        <f>HLOOKUP("start",ESLData!E$1:E$9983,MATCH($A697,ESLData!$B$1:$B$9983,0))</f>
        <v>5231.6899999999996</v>
      </c>
      <c r="E697" s="541">
        <f>HLOOKUP("start",ESLData!F$1:F$9983,MATCH($A697,ESLData!$B$1:$B$9983,0))</f>
        <v>6000</v>
      </c>
      <c r="G697" s="541">
        <f>HLOOKUP("start",ESLData!H$1:H$9983,MATCH($A697,ESLData!$B$1:$B$9983,0))</f>
        <v>4510.75</v>
      </c>
    </row>
    <row r="698" spans="1:9" x14ac:dyDescent="0.2">
      <c r="A698" s="540">
        <v>60850</v>
      </c>
      <c r="C698" s="541">
        <f>HLOOKUP("start",ESLData!E$1:E$9983,MATCH($A698,ESLData!$B$1:$B$9983,0))</f>
        <v>0</v>
      </c>
      <c r="E698" s="541">
        <f>HLOOKUP("start",ESLData!F$1:F$9983,MATCH($A698,ESLData!$B$1:$B$9983,0))</f>
        <v>0</v>
      </c>
      <c r="G698" s="541">
        <f>HLOOKUP("start",ESLData!H$1:H$9983,MATCH($A698,ESLData!$B$1:$B$9983,0))</f>
        <v>0</v>
      </c>
    </row>
    <row r="699" spans="1:9" x14ac:dyDescent="0.2">
      <c r="A699" s="540">
        <v>60851</v>
      </c>
      <c r="C699" s="541">
        <f>HLOOKUP("start",ESLData!E$1:E$9983,MATCH($A699,ESLData!$B$1:$B$9983,0))</f>
        <v>0</v>
      </c>
      <c r="E699" s="541">
        <f>HLOOKUP("start",ESLData!F$1:F$9983,MATCH($A699,ESLData!$B$1:$B$9983,0))</f>
        <v>0</v>
      </c>
      <c r="G699" s="541">
        <f>HLOOKUP("start",ESLData!H$1:H$9983,MATCH($A699,ESLData!$B$1:$B$9983,0))</f>
        <v>0</v>
      </c>
    </row>
    <row r="700" spans="1:9" x14ac:dyDescent="0.2">
      <c r="A700" s="540">
        <v>60855</v>
      </c>
      <c r="C700" s="541">
        <f>HLOOKUP("start",ESLData!E$1:E$9983,MATCH($A700,ESLData!$B$1:$B$9983,0))</f>
        <v>0</v>
      </c>
      <c r="E700" s="541">
        <f>HLOOKUP("start",ESLData!F$1:F$9983,MATCH($A700,ESLData!$B$1:$B$9983,0))</f>
        <v>0</v>
      </c>
      <c r="G700" s="541">
        <f>HLOOKUP("start",ESLData!H$1:H$9983,MATCH($A700,ESLData!$B$1:$B$9983,0))</f>
        <v>0</v>
      </c>
    </row>
    <row r="701" spans="1:9" ht="13.5" customHeight="1" x14ac:dyDescent="0.2">
      <c r="A701" s="540">
        <v>60860</v>
      </c>
      <c r="C701" s="541">
        <f>HLOOKUP("start",ESLData!E$1:E$9983,MATCH($A701,ESLData!$B$1:$B$9983,0))</f>
        <v>0</v>
      </c>
      <c r="E701" s="541">
        <f>HLOOKUP("start",ESLData!F$1:F$9983,MATCH($A701,ESLData!$B$1:$B$9983,0))</f>
        <v>0</v>
      </c>
      <c r="G701" s="541">
        <f>HLOOKUP("start",ESLData!H$1:H$9983,MATCH($A701,ESLData!$B$1:$B$9983,0))</f>
        <v>0</v>
      </c>
    </row>
    <row r="702" spans="1:9" x14ac:dyDescent="0.2">
      <c r="A702" s="540">
        <v>60865</v>
      </c>
      <c r="C702" s="541">
        <f>HLOOKUP("start",ESLData!E$1:E$9983,MATCH($A702,ESLData!$B$1:$B$9983,0))</f>
        <v>187.39</v>
      </c>
      <c r="E702" s="541">
        <f>HLOOKUP("start",ESLData!F$1:F$9983,MATCH($A702,ESLData!$B$1:$B$9983,0))</f>
        <v>0</v>
      </c>
      <c r="G702" s="541">
        <f>HLOOKUP("start",ESLData!H$1:H$9983,MATCH($A702,ESLData!$B$1:$B$9983,0))</f>
        <v>34.94</v>
      </c>
    </row>
    <row r="703" spans="1:9" x14ac:dyDescent="0.2">
      <c r="A703" s="540">
        <v>35526</v>
      </c>
      <c r="C703" s="541">
        <f>HLOOKUP("start",ESLData!E$1:E$9983,MATCH($A703,ESLData!$B$1:$B$9983,0))</f>
        <v>35645.57</v>
      </c>
      <c r="E703" s="541">
        <f>HLOOKUP("start",ESLData!F$1:F$9983,MATCH($A703,ESLData!$B$1:$B$9983,0))</f>
        <v>38000</v>
      </c>
      <c r="G703" s="541">
        <f>HLOOKUP("start",ESLData!H$1:H$9983,MATCH($A703,ESLData!$B$1:$B$9983,0))</f>
        <v>0</v>
      </c>
      <c r="I703" s="547"/>
    </row>
    <row r="704" spans="1:9" x14ac:dyDescent="0.2">
      <c r="A704" s="540">
        <v>35527</v>
      </c>
      <c r="C704" s="541">
        <f>HLOOKUP("start",ESLData!E$1:E$9983,MATCH($A704,ESLData!$B$1:$B$9983,0))</f>
        <v>7632.31</v>
      </c>
      <c r="E704" s="541">
        <f>HLOOKUP("start",ESLData!F$1:F$9983,MATCH($A704,ESLData!$B$1:$B$9983,0))</f>
        <v>13750</v>
      </c>
      <c r="G704" s="541">
        <f>HLOOKUP("start",ESLData!H$1:H$9983,MATCH($A704,ESLData!$B$1:$B$9983,0))</f>
        <v>0</v>
      </c>
      <c r="I704" s="547"/>
    </row>
    <row r="705" spans="1:15" x14ac:dyDescent="0.2">
      <c r="A705" s="540">
        <v>35528</v>
      </c>
      <c r="C705" s="541">
        <f>HLOOKUP("start",ESLData!E$1:E$9983,MATCH($A705,ESLData!$B$1:$B$9983,0))</f>
        <v>44392.04</v>
      </c>
      <c r="E705" s="541">
        <f>HLOOKUP("start",ESLData!F$1:F$9983,MATCH($A705,ESLData!$B$1:$B$9983,0))</f>
        <v>100000</v>
      </c>
      <c r="G705" s="541">
        <f>HLOOKUP("start",ESLData!H$1:H$9983,MATCH($A705,ESLData!$B$1:$B$9983,0))</f>
        <v>0</v>
      </c>
      <c r="I705" s="547"/>
    </row>
    <row r="706" spans="1:15" x14ac:dyDescent="0.2">
      <c r="A706" s="540">
        <v>35555</v>
      </c>
      <c r="C706" s="541">
        <f>HLOOKUP("start",ESLData!E$1:E$9983,MATCH($A706,ESLData!$B$1:$B$9983,0))</f>
        <v>149.09</v>
      </c>
      <c r="E706" s="541">
        <f>HLOOKUP("start",ESLData!F$1:F$9983,MATCH($A706,ESLData!$B$1:$B$9983,0))</f>
        <v>10000</v>
      </c>
      <c r="G706" s="541">
        <f>HLOOKUP("start",ESLData!H$1:H$9983,MATCH($A706,ESLData!$B$1:$B$9983,0))</f>
        <v>0</v>
      </c>
      <c r="I706" s="547"/>
    </row>
    <row r="707" spans="1:15" x14ac:dyDescent="0.2">
      <c r="A707" s="540">
        <v>60826</v>
      </c>
      <c r="C707" s="541">
        <f>HLOOKUP("start",ESLData!E$1:E$9983,MATCH($A707,ESLData!$B$1:$B$9983,0))</f>
        <v>2050.3200000000002</v>
      </c>
      <c r="E707" s="541">
        <f>HLOOKUP("start",ESLData!F$1:F$9983,MATCH($A707,ESLData!$B$1:$B$9983,0))</f>
        <v>4300</v>
      </c>
      <c r="G707" s="541">
        <f>HLOOKUP("start",ESLData!H$1:H$9983,MATCH($A707,ESLData!$B$1:$B$9983,0))</f>
        <v>0</v>
      </c>
      <c r="I707" s="547"/>
    </row>
    <row r="708" spans="1:15" x14ac:dyDescent="0.2">
      <c r="A708" s="540">
        <v>60875</v>
      </c>
      <c r="C708" s="541">
        <f>HLOOKUP("start",ESLData!E$1:E$9983,MATCH($A708,ESLData!$B$1:$B$9983,0))</f>
        <v>0</v>
      </c>
      <c r="E708" s="541">
        <f>HLOOKUP("start",ESLData!F$1:F$9983,MATCH($A708,ESLData!$B$1:$B$9983,0))</f>
        <v>0</v>
      </c>
      <c r="G708" s="541">
        <f>HLOOKUP("start",ESLData!H$1:H$9983,MATCH($A708,ESLData!$B$1:$B$9983,0))</f>
        <v>0</v>
      </c>
    </row>
    <row r="709" spans="1:15" x14ac:dyDescent="0.2">
      <c r="A709" s="540">
        <v>60750</v>
      </c>
      <c r="C709" s="541">
        <f>HLOOKUP("start",ESLData!E$1:E$9983,MATCH($A709,ESLData!$B$1:$B$9983,0))</f>
        <v>6156.67</v>
      </c>
      <c r="E709" s="541">
        <f>HLOOKUP("start",ESLData!F$1:F$9983,MATCH($A709,ESLData!$B$1:$B$9983,0))</f>
        <v>20000</v>
      </c>
      <c r="G709" s="541">
        <f>HLOOKUP("start",ESLData!H$1:H$9983,MATCH($A709,ESLData!$B$1:$B$9983,0))</f>
        <v>0</v>
      </c>
      <c r="I709" s="547"/>
    </row>
    <row r="710" spans="1:15" x14ac:dyDescent="0.2">
      <c r="A710" s="540">
        <v>60876</v>
      </c>
      <c r="C710" s="541">
        <f>HLOOKUP("start",ESLData!E$1:E$9983,MATCH($A710,ESLData!$B$1:$B$9983,0))</f>
        <v>417.6</v>
      </c>
      <c r="D710" s="542">
        <f>SUM(C611:C710)</f>
        <v>1437196.68</v>
      </c>
      <c r="E710" s="541">
        <f>HLOOKUP("start",ESLData!F$1:F$9983,MATCH($A710,ESLData!$B$1:$B$9983,0))</f>
        <v>800</v>
      </c>
      <c r="F710" s="542">
        <f>SUM(E611:E710)</f>
        <v>1980811</v>
      </c>
      <c r="G710" s="541">
        <f>HLOOKUP("start",ESLData!H$1:H$9983,MATCH($A710,ESLData!$B$1:$B$9983,0))</f>
        <v>483.21</v>
      </c>
      <c r="H710" s="542">
        <f>SUM(G611:G710)</f>
        <v>1422843.21</v>
      </c>
    </row>
    <row r="711" spans="1:15" ht="15.75" x14ac:dyDescent="0.2">
      <c r="A711" s="549" t="s">
        <v>912</v>
      </c>
      <c r="C711" s="541"/>
      <c r="E711" s="541"/>
      <c r="G711" s="541"/>
    </row>
    <row r="712" spans="1:15" x14ac:dyDescent="0.2">
      <c r="A712" s="548" t="s">
        <v>913</v>
      </c>
      <c r="C712" s="541"/>
      <c r="E712" s="541"/>
      <c r="G712" s="541"/>
    </row>
    <row r="713" spans="1:15" x14ac:dyDescent="0.2">
      <c r="A713" s="540">
        <v>37040</v>
      </c>
      <c r="C713" s="541">
        <f>HLOOKUP("start",ESLData!E$1:E$9983,MATCH($A713,ESLData!$B$1:$B$9983,0))</f>
        <v>37719.17</v>
      </c>
      <c r="E713" s="541">
        <f>HLOOKUP("start",ESLData!F$1:F$9983,MATCH($A713,ESLData!$B$1:$B$9983,0))</f>
        <v>36400</v>
      </c>
      <c r="G713" s="541">
        <f>HLOOKUP("start",ESLData!H$1:H$9983,MATCH($A713,ESLData!$B$1:$B$9983,0))</f>
        <v>36541.31</v>
      </c>
    </row>
    <row r="714" spans="1:15" x14ac:dyDescent="0.2">
      <c r="A714" s="540">
        <v>37050</v>
      </c>
      <c r="C714" s="541">
        <f>HLOOKUP("start",ESLData!E$1:E$9983,MATCH($A714,ESLData!$B$1:$B$9983,0))</f>
        <v>23895.24</v>
      </c>
      <c r="E714" s="541">
        <f>HLOOKUP("start",ESLData!F$1:F$9983,MATCH($A714,ESLData!$B$1:$B$9983,0))</f>
        <v>27560</v>
      </c>
      <c r="G714" s="541">
        <f>HLOOKUP("start",ESLData!H$1:H$9983,MATCH($A714,ESLData!$B$1:$B$9983,0))</f>
        <v>563</v>
      </c>
    </row>
    <row r="715" spans="1:15" x14ac:dyDescent="0.2">
      <c r="A715" s="540">
        <v>37060</v>
      </c>
      <c r="C715" s="541">
        <f>HLOOKUP("start",ESLData!E$1:E$9983,MATCH($A715,ESLData!$B$1:$B$9983,0))</f>
        <v>18640</v>
      </c>
      <c r="E715" s="541">
        <f>HLOOKUP("start",ESLData!F$1:F$9983,MATCH($A715,ESLData!$B$1:$B$9983,0))</f>
        <v>19000</v>
      </c>
      <c r="G715" s="541">
        <f>HLOOKUP("start",ESLData!H$1:H$9983,MATCH($A715,ESLData!$B$1:$B$9983,0))</f>
        <v>17654</v>
      </c>
    </row>
    <row r="716" spans="1:15" x14ac:dyDescent="0.2">
      <c r="A716" s="540">
        <v>37070</v>
      </c>
      <c r="C716" s="541">
        <f>HLOOKUP("start",ESLData!E$1:E$9983,MATCH($A716,ESLData!$B$1:$B$9983,0))</f>
        <v>13225</v>
      </c>
      <c r="E716" s="541">
        <f>HLOOKUP("start",ESLData!F$1:F$9983,MATCH($A716,ESLData!$B$1:$B$9983,0))</f>
        <v>15000</v>
      </c>
      <c r="G716" s="541">
        <f>HLOOKUP("start",ESLData!H$1:H$9983,MATCH($A716,ESLData!$B$1:$B$9983,0))</f>
        <v>12556.52</v>
      </c>
      <c r="O716" s="547" t="s">
        <v>1055</v>
      </c>
    </row>
    <row r="717" spans="1:15" x14ac:dyDescent="0.2">
      <c r="A717" s="540">
        <v>37080</v>
      </c>
      <c r="C717" s="541">
        <f>HLOOKUP("start",ESLData!E$1:E$9983,MATCH($A717,ESLData!$B$1:$B$9983,0))</f>
        <v>12207.01</v>
      </c>
      <c r="E717" s="541">
        <f>HLOOKUP("start",ESLData!F$1:F$9983,MATCH($A717,ESLData!$B$1:$B$9983,0))</f>
        <v>16500</v>
      </c>
      <c r="G717" s="541">
        <f>HLOOKUP("start",ESLData!H$1:H$9983,MATCH($A717,ESLData!$B$1:$B$9983,0))</f>
        <v>13780</v>
      </c>
    </row>
    <row r="718" spans="1:15" x14ac:dyDescent="0.2">
      <c r="A718" s="540">
        <v>37085</v>
      </c>
      <c r="C718" s="541">
        <f>HLOOKUP("start",ESLData!E$1:E$9983,MATCH($A718,ESLData!$B$1:$B$9983,0))</f>
        <v>0</v>
      </c>
      <c r="E718" s="541">
        <f>HLOOKUP("start",ESLData!F$1:F$9983,MATCH($A718,ESLData!$B$1:$B$9983,0))</f>
        <v>0</v>
      </c>
      <c r="G718" s="541">
        <f>HLOOKUP("start",ESLData!H$1:H$9983,MATCH($A718,ESLData!$B$1:$B$9983,0))</f>
        <v>0</v>
      </c>
    </row>
    <row r="719" spans="1:15" x14ac:dyDescent="0.2">
      <c r="A719" s="540">
        <v>37090</v>
      </c>
      <c r="C719" s="541">
        <f>HLOOKUP("start",ESLData!E$1:E$9983,MATCH($A719,ESLData!$B$1:$B$9983,0))</f>
        <v>8199.1299999999992</v>
      </c>
      <c r="E719" s="541">
        <f>HLOOKUP("start",ESLData!F$1:F$9983,MATCH($A719,ESLData!$B$1:$B$9983,0))</f>
        <v>8000</v>
      </c>
      <c r="G719" s="541">
        <f>HLOOKUP("start",ESLData!H$1:H$9983,MATCH($A719,ESLData!$B$1:$B$9983,0))</f>
        <v>6745</v>
      </c>
    </row>
    <row r="720" spans="1:15" x14ac:dyDescent="0.2">
      <c r="A720" s="540">
        <v>37130</v>
      </c>
      <c r="C720" s="541">
        <f>HLOOKUP("start",ESLData!E$1:E$9983,MATCH($A720,ESLData!$B$1:$B$9983,0))</f>
        <v>12012</v>
      </c>
      <c r="E720" s="541">
        <f>HLOOKUP("start",ESLData!F$1:F$9983,MATCH($A720,ESLData!$B$1:$B$9983,0))</f>
        <v>16500</v>
      </c>
      <c r="G720" s="541">
        <f>HLOOKUP("start",ESLData!H$1:H$9983,MATCH($A720,ESLData!$B$1:$B$9983,0))</f>
        <v>15307.5</v>
      </c>
    </row>
    <row r="721" spans="1:9" x14ac:dyDescent="0.2">
      <c r="A721" s="540">
        <v>37260</v>
      </c>
      <c r="C721" s="541">
        <f>HLOOKUP("start",ESLData!E$1:E$9983,MATCH($A721,ESLData!$B$1:$B$9983,0))</f>
        <v>0</v>
      </c>
      <c r="E721" s="541">
        <f>HLOOKUP("start",ESLData!F$1:F$9983,MATCH($A721,ESLData!$B$1:$B$9983,0))</f>
        <v>0</v>
      </c>
      <c r="G721" s="541">
        <f>HLOOKUP("start",ESLData!H$1:H$9983,MATCH($A721,ESLData!$B$1:$B$9983,0))</f>
        <v>0</v>
      </c>
    </row>
    <row r="722" spans="1:9" x14ac:dyDescent="0.2">
      <c r="A722" s="540">
        <v>37145</v>
      </c>
      <c r="C722" s="541">
        <f>HLOOKUP("start",ESLData!E$1:E$9983,MATCH($A722,ESLData!$B$1:$B$9983,0))</f>
        <v>550</v>
      </c>
      <c r="E722" s="541">
        <f>HLOOKUP("start",ESLData!F$1:F$9983,MATCH($A722,ESLData!$B$1:$B$9983,0))</f>
        <v>1000</v>
      </c>
      <c r="G722" s="541">
        <f>HLOOKUP("start",ESLData!H$1:H$9983,MATCH($A722,ESLData!$B$1:$B$9983,0))</f>
        <v>0</v>
      </c>
      <c r="I722" s="547"/>
    </row>
    <row r="723" spans="1:9" x14ac:dyDescent="0.2">
      <c r="A723" s="540">
        <v>37140</v>
      </c>
      <c r="C723" s="541">
        <f>HLOOKUP("start",ESLData!E$1:E$9983,MATCH($A723,ESLData!$B$1:$B$9983,0))</f>
        <v>15247.59</v>
      </c>
      <c r="D723" s="542">
        <f>SUM(C713:C723)</f>
        <v>141695.14000000001</v>
      </c>
      <c r="E723" s="541">
        <f>HLOOKUP("start",ESLData!F$1:F$9983,MATCH($A723,ESLData!$B$1:$B$9983,0))</f>
        <v>16500</v>
      </c>
      <c r="F723" s="542">
        <f>SUM(E713:E723)</f>
        <v>156460</v>
      </c>
      <c r="G723" s="541">
        <f>HLOOKUP("start",ESLData!H$1:H$9983,MATCH($A723,ESLData!$B$1:$B$9983,0))</f>
        <v>12449.69</v>
      </c>
      <c r="H723" s="542">
        <f>SUM(G713:G723)</f>
        <v>115597.02</v>
      </c>
    </row>
    <row r="724" spans="1:9" x14ac:dyDescent="0.2">
      <c r="A724" s="538" t="s">
        <v>881</v>
      </c>
      <c r="C724" s="541"/>
      <c r="E724" s="541"/>
      <c r="G724" s="541"/>
    </row>
    <row r="725" spans="1:9" x14ac:dyDescent="0.2">
      <c r="A725" s="540">
        <v>37010</v>
      </c>
      <c r="C725" s="541">
        <f>HLOOKUP("start",ESLData!E$1:E$9983,MATCH($A725,ESLData!$B$1:$B$9983,0))</f>
        <v>17408.93</v>
      </c>
      <c r="E725" s="541">
        <f>HLOOKUP("start",ESLData!F$1:F$9983,MATCH($A725,ESLData!$B$1:$B$9983,0))</f>
        <v>23500</v>
      </c>
      <c r="G725" s="541">
        <f>HLOOKUP("start",ESLData!H$1:H$9983,MATCH($A725,ESLData!$B$1:$B$9983,0))</f>
        <v>33805.94</v>
      </c>
    </row>
    <row r="726" spans="1:9" x14ac:dyDescent="0.2">
      <c r="A726" s="538" t="s">
        <v>906</v>
      </c>
      <c r="C726" s="541"/>
      <c r="E726" s="541"/>
      <c r="G726" s="541"/>
    </row>
    <row r="727" spans="1:9" x14ac:dyDescent="0.2">
      <c r="A727" s="540">
        <v>37000</v>
      </c>
      <c r="C727" s="541">
        <f>HLOOKUP("start",ESLData!E$1:E$9983,MATCH($A727,ESLData!$B$1:$B$9983,0))</f>
        <v>188.32</v>
      </c>
      <c r="E727" s="541">
        <f>HLOOKUP("start",ESLData!F$1:F$9983,MATCH($A727,ESLData!$B$1:$B$9983,0))</f>
        <v>850</v>
      </c>
      <c r="G727" s="541">
        <f>HLOOKUP("start",ESLData!H$1:H$9983,MATCH($A727,ESLData!$B$1:$B$9983,0))</f>
        <v>1272.75</v>
      </c>
    </row>
    <row r="728" spans="1:9" x14ac:dyDescent="0.2">
      <c r="A728" s="540">
        <v>37185</v>
      </c>
      <c r="C728" s="541">
        <f>HLOOKUP("start",ESLData!E$1:E$9983,MATCH($A728,ESLData!$B$1:$B$9983,0))</f>
        <v>1605.92</v>
      </c>
      <c r="E728" s="541">
        <f>HLOOKUP("start",ESLData!F$1:F$9983,MATCH($A728,ESLData!$B$1:$B$9983,0))</f>
        <v>1450</v>
      </c>
      <c r="G728" s="541">
        <f>HLOOKUP("start",ESLData!H$1:H$9983,MATCH($A728,ESLData!$B$1:$B$9983,0))</f>
        <v>1641.68</v>
      </c>
    </row>
    <row r="729" spans="1:9" x14ac:dyDescent="0.2">
      <c r="A729" s="540">
        <v>37190</v>
      </c>
      <c r="C729" s="541">
        <f>HLOOKUP("start",ESLData!E$1:E$9983,MATCH($A729,ESLData!$B$1:$B$9983,0))</f>
        <v>1660.64</v>
      </c>
      <c r="E729" s="541">
        <f>HLOOKUP("start",ESLData!F$1:F$9983,MATCH($A729,ESLData!$B$1:$B$9983,0))</f>
        <v>1300</v>
      </c>
      <c r="G729" s="541">
        <f>HLOOKUP("start",ESLData!H$1:H$9983,MATCH($A729,ESLData!$B$1:$B$9983,0))</f>
        <v>1209.6600000000001</v>
      </c>
    </row>
    <row r="730" spans="1:9" x14ac:dyDescent="0.2">
      <c r="A730" s="540">
        <v>34000</v>
      </c>
      <c r="C730" s="541">
        <f>HLOOKUP("start",ESLData!E$1:E$9983,MATCH($A730,ESLData!$B$1:$B$9983,0))</f>
        <v>0</v>
      </c>
      <c r="D730" s="542">
        <f>SUM(C727:C730)</f>
        <v>3454.88</v>
      </c>
      <c r="E730" s="541">
        <f>HLOOKUP("start",ESLData!F$1:F$9983,MATCH($A730,ESLData!$B$1:$B$9983,0))</f>
        <v>0</v>
      </c>
      <c r="F730" s="542">
        <f>SUM(E727:E730)</f>
        <v>3600</v>
      </c>
      <c r="G730" s="541">
        <f>HLOOKUP("start",ESLData!H$1:H$9983,MATCH($A730,ESLData!$B$1:$B$9983,0))</f>
        <v>0</v>
      </c>
      <c r="H730" s="542">
        <f>SUM(G727:G730)</f>
        <v>4124.09</v>
      </c>
    </row>
    <row r="731" spans="1:9" x14ac:dyDescent="0.2">
      <c r="A731" s="538" t="s">
        <v>902</v>
      </c>
      <c r="C731" s="541"/>
      <c r="E731" s="541"/>
      <c r="G731" s="541"/>
    </row>
    <row r="732" spans="1:9" x14ac:dyDescent="0.2">
      <c r="A732" s="545">
        <v>37041</v>
      </c>
      <c r="C732" s="541">
        <f>HLOOKUP("start",ESLData!E$1:E$9983,MATCH($A732,ESLData!$B$1:$B$9983,0))</f>
        <v>391.8</v>
      </c>
      <c r="E732" s="541">
        <f>HLOOKUP("start",ESLData!F$1:F$9983,MATCH($A732,ESLData!$B$1:$B$9983,0))</f>
        <v>0</v>
      </c>
      <c r="G732" s="541">
        <f>HLOOKUP("start",ESLData!H$1:H$9983,MATCH($A732,ESLData!$B$1:$B$9983,0))</f>
        <v>192.36</v>
      </c>
    </row>
    <row r="733" spans="1:9" x14ac:dyDescent="0.2">
      <c r="A733" s="540">
        <v>37160</v>
      </c>
      <c r="C733" s="541">
        <f>HLOOKUP("start",ESLData!E$1:E$9983,MATCH($A733,ESLData!$B$1:$B$9983,0))</f>
        <v>5227.95</v>
      </c>
      <c r="E733" s="541">
        <f>HLOOKUP("start",ESLData!F$1:F$9983,MATCH($A733,ESLData!$B$1:$B$9983,0))</f>
        <v>5000</v>
      </c>
      <c r="G733" s="541">
        <f>HLOOKUP("start",ESLData!H$1:H$9983,MATCH($A733,ESLData!$B$1:$B$9983,0))</f>
        <v>8337.85</v>
      </c>
    </row>
    <row r="734" spans="1:9" x14ac:dyDescent="0.2">
      <c r="A734" s="540">
        <v>37180</v>
      </c>
      <c r="C734" s="541">
        <f>HLOOKUP("start",ESLData!E$1:E$9983,MATCH($A734,ESLData!$B$1:$B$9983,0))</f>
        <v>1753.1</v>
      </c>
      <c r="E734" s="541">
        <f>HLOOKUP("start",ESLData!F$1:F$9983,MATCH($A734,ESLData!$B$1:$B$9983,0))</f>
        <v>2500</v>
      </c>
      <c r="G734" s="541">
        <f>HLOOKUP("start",ESLData!H$1:H$9983,MATCH($A734,ESLData!$B$1:$B$9983,0))</f>
        <v>2025.42</v>
      </c>
    </row>
    <row r="735" spans="1:9" x14ac:dyDescent="0.2">
      <c r="A735" s="540">
        <v>37187</v>
      </c>
      <c r="C735" s="541">
        <f>HLOOKUP("start",ESLData!E$1:E$9983,MATCH($A735,ESLData!$B$1:$B$9983,0))</f>
        <v>743.52</v>
      </c>
      <c r="E735" s="541">
        <f>HLOOKUP("start",ESLData!F$1:F$9983,MATCH($A735,ESLData!$B$1:$B$9983,0))</f>
        <v>750</v>
      </c>
      <c r="G735" s="541">
        <f>HLOOKUP("start",ESLData!H$1:H$9983,MATCH($A735,ESLData!$B$1:$B$9983,0))</f>
        <v>923.16</v>
      </c>
    </row>
    <row r="736" spans="1:9" x14ac:dyDescent="0.2">
      <c r="A736" s="540">
        <v>37210</v>
      </c>
      <c r="C736" s="541">
        <f>HLOOKUP("start",ESLData!E$1:E$9983,MATCH($A736,ESLData!$B$1:$B$9983,0))</f>
        <v>833.79</v>
      </c>
      <c r="E736" s="541">
        <f>HLOOKUP("start",ESLData!F$1:F$9983,MATCH($A736,ESLData!$B$1:$B$9983,0))</f>
        <v>850</v>
      </c>
      <c r="G736" s="541">
        <f>HLOOKUP("start",ESLData!H$1:H$9983,MATCH($A736,ESLData!$B$1:$B$9983,0))</f>
        <v>858.72</v>
      </c>
    </row>
    <row r="737" spans="1:8" x14ac:dyDescent="0.2">
      <c r="A737" s="540">
        <v>37250</v>
      </c>
      <c r="C737" s="541">
        <f>HLOOKUP("start",ESLData!E$1:E$9983,MATCH($A737,ESLData!$B$1:$B$9983,0))</f>
        <v>0</v>
      </c>
      <c r="D737" s="542"/>
      <c r="E737" s="541">
        <f>HLOOKUP("start",ESLData!F$1:F$9983,MATCH($A737,ESLData!$B$1:$B$9983,0))</f>
        <v>350</v>
      </c>
      <c r="F737" s="542"/>
      <c r="G737" s="541">
        <f>HLOOKUP("start",ESLData!H$1:H$9983,MATCH($A737,ESLData!$B$1:$B$9983,0))</f>
        <v>65</v>
      </c>
    </row>
    <row r="738" spans="1:8" x14ac:dyDescent="0.2">
      <c r="A738" s="540">
        <v>34600</v>
      </c>
      <c r="C738" s="541">
        <f>HLOOKUP("start",ESLData!E$1:E$9983,MATCH($A738,ESLData!$B$1:$B$9983,0))</f>
        <v>0</v>
      </c>
      <c r="E738" s="541">
        <f>HLOOKUP("start",ESLData!F$1:F$9983,MATCH($A738,ESLData!$B$1:$B$9983,0))</f>
        <v>0</v>
      </c>
      <c r="G738" s="541">
        <f>HLOOKUP("start",ESLData!H$1:H$9983,MATCH($A738,ESLData!$B$1:$B$9983,0))</f>
        <v>0</v>
      </c>
    </row>
    <row r="739" spans="1:8" x14ac:dyDescent="0.2">
      <c r="A739" s="540">
        <v>34610</v>
      </c>
      <c r="C739" s="541">
        <f>HLOOKUP("start",ESLData!E$1:E$9983,MATCH($A739,ESLData!$B$1:$B$9983,0))</f>
        <v>0</v>
      </c>
      <c r="E739" s="541">
        <f>HLOOKUP("start",ESLData!F$1:F$9983,MATCH($A739,ESLData!$B$1:$B$9983,0))</f>
        <v>0</v>
      </c>
      <c r="G739" s="541">
        <f>HLOOKUP("start",ESLData!H$1:H$9983,MATCH($A739,ESLData!$B$1:$B$9983,0))</f>
        <v>0</v>
      </c>
    </row>
    <row r="740" spans="1:8" x14ac:dyDescent="0.2">
      <c r="A740" s="540">
        <v>34455</v>
      </c>
      <c r="C740" s="541">
        <f>HLOOKUP("start",ESLData!E$1:E$9983,MATCH($A740,ESLData!$B$1:$B$9983,0))</f>
        <v>0</v>
      </c>
      <c r="E740" s="541">
        <f>HLOOKUP("start",ESLData!F$1:F$9983,MATCH($A740,ESLData!$B$1:$B$9983,0))</f>
        <v>0</v>
      </c>
      <c r="G740" s="541">
        <f>HLOOKUP("start",ESLData!H$1:H$9983,MATCH($A740,ESLData!$B$1:$B$9983,0))</f>
        <v>0</v>
      </c>
    </row>
    <row r="741" spans="1:8" x14ac:dyDescent="0.2">
      <c r="A741" s="540">
        <v>34500</v>
      </c>
      <c r="C741" s="541">
        <f>HLOOKUP("start",ESLData!E$1:E$9983,MATCH($A741,ESLData!$B$1:$B$9983,0))</f>
        <v>0</v>
      </c>
      <c r="D741" s="542">
        <f>SUM(C732:C741)</f>
        <v>8950.16</v>
      </c>
      <c r="E741" s="541">
        <f>HLOOKUP("start",ESLData!F$1:F$9983,MATCH($A741,ESLData!$B$1:$B$9983,0))</f>
        <v>0</v>
      </c>
      <c r="F741" s="542">
        <f>SUM(E732:E741)</f>
        <v>9450</v>
      </c>
      <c r="G741" s="541">
        <f>HLOOKUP("start",ESLData!H$1:H$9983,MATCH($A741,ESLData!$B$1:$B$9983,0))</f>
        <v>0</v>
      </c>
      <c r="H741" s="542">
        <f>SUM(G732:G741)</f>
        <v>12402.51</v>
      </c>
    </row>
    <row r="742" spans="1:8" x14ac:dyDescent="0.2">
      <c r="A742" s="538" t="s">
        <v>1025</v>
      </c>
      <c r="C742" s="541"/>
      <c r="E742" s="541"/>
      <c r="G742" s="541"/>
    </row>
    <row r="743" spans="1:8" x14ac:dyDescent="0.2">
      <c r="A743" s="540">
        <v>37600</v>
      </c>
      <c r="C743" s="541">
        <f>HLOOKUP("start",ESLData!E$1:E$9983,MATCH($A743,ESLData!$B$1:$B$9983,0))</f>
        <v>2128</v>
      </c>
      <c r="E743" s="541">
        <f>HLOOKUP("start",ESLData!F$1:F$9983,MATCH($A743,ESLData!$B$1:$B$9983,0))</f>
        <v>2128</v>
      </c>
      <c r="G743" s="541">
        <f>HLOOKUP("start",ESLData!H$1:H$9983,MATCH($A743,ESLData!$B$1:$B$9983,0))</f>
        <v>3290</v>
      </c>
    </row>
    <row r="744" spans="1:8" x14ac:dyDescent="0.2">
      <c r="A744" s="540">
        <v>37610</v>
      </c>
      <c r="C744" s="541">
        <f>HLOOKUP("start",ESLData!E$1:E$9983,MATCH($A744,ESLData!$B$1:$B$9983,0))</f>
        <v>595.88</v>
      </c>
      <c r="E744" s="541">
        <f>HLOOKUP("start",ESLData!F$1:F$9983,MATCH($A744,ESLData!$B$1:$B$9983,0))</f>
        <v>850</v>
      </c>
      <c r="G744" s="541">
        <f>HLOOKUP("start",ESLData!H$1:H$9983,MATCH($A744,ESLData!$B$1:$B$9983,0))</f>
        <v>834.96</v>
      </c>
    </row>
    <row r="745" spans="1:8" x14ac:dyDescent="0.2">
      <c r="A745" s="540">
        <v>37620</v>
      </c>
      <c r="C745" s="541">
        <f>HLOOKUP("start",ESLData!E$1:E$9983,MATCH($A745,ESLData!$B$1:$B$9983,0))</f>
        <v>516.23</v>
      </c>
      <c r="E745" s="541">
        <f>HLOOKUP("start",ESLData!F$1:F$9983,MATCH($A745,ESLData!$B$1:$B$9983,0))</f>
        <v>500</v>
      </c>
      <c r="G745" s="541">
        <f>HLOOKUP("start",ESLData!H$1:H$9983,MATCH($A745,ESLData!$B$1:$B$9983,0))</f>
        <v>459.01</v>
      </c>
    </row>
    <row r="746" spans="1:8" x14ac:dyDescent="0.2">
      <c r="A746" s="540">
        <v>37630</v>
      </c>
      <c r="C746" s="541">
        <f>HLOOKUP("start",ESLData!E$1:E$9983,MATCH($A746,ESLData!$B$1:$B$9983,0))</f>
        <v>102.42</v>
      </c>
      <c r="E746" s="541">
        <f>HLOOKUP("start",ESLData!F$1:F$9983,MATCH($A746,ESLData!$B$1:$B$9983,0))</f>
        <v>450</v>
      </c>
      <c r="G746" s="541">
        <f>HLOOKUP("start",ESLData!H$1:H$9983,MATCH($A746,ESLData!$B$1:$B$9983,0))</f>
        <v>154.24</v>
      </c>
    </row>
    <row r="747" spans="1:8" x14ac:dyDescent="0.2">
      <c r="A747" s="540">
        <v>37640</v>
      </c>
      <c r="C747" s="541">
        <f>HLOOKUP("start",ESLData!E$1:E$9983,MATCH($A747,ESLData!$B$1:$B$9983,0))</f>
        <v>585.63</v>
      </c>
      <c r="E747" s="541">
        <f>HLOOKUP("start",ESLData!F$1:F$9983,MATCH($A747,ESLData!$B$1:$B$9983,0))</f>
        <v>700</v>
      </c>
      <c r="G747" s="541">
        <f>HLOOKUP("start",ESLData!H$1:H$9983,MATCH($A747,ESLData!$B$1:$B$9983,0))</f>
        <v>359.67</v>
      </c>
    </row>
    <row r="748" spans="1:8" x14ac:dyDescent="0.2">
      <c r="A748" s="540">
        <v>37030</v>
      </c>
      <c r="C748" s="541">
        <f>HLOOKUP("start",ESLData!E$1:E$9983,MATCH($A748,ESLData!$B$1:$B$9983,0))</f>
        <v>0</v>
      </c>
      <c r="D748" s="542">
        <f>SUM(C743:C748)</f>
        <v>3928.1600000000003</v>
      </c>
      <c r="E748" s="541">
        <f>HLOOKUP("start",ESLData!F$1:F$9983,MATCH($A748,ESLData!$B$1:$B$9983,0))</f>
        <v>0</v>
      </c>
      <c r="F748" s="542">
        <f>SUM(E743:E748)</f>
        <v>4628</v>
      </c>
      <c r="G748" s="541">
        <f>HLOOKUP("start",ESLData!H$1:H$9983,MATCH($A748,ESLData!$B$1:$B$9983,0))</f>
        <v>0</v>
      </c>
      <c r="H748" s="542">
        <f>SUM(G743:G748)</f>
        <v>5097.88</v>
      </c>
    </row>
    <row r="749" spans="1:8" x14ac:dyDescent="0.2">
      <c r="A749" s="548" t="s">
        <v>845</v>
      </c>
      <c r="C749" s="541"/>
      <c r="E749" s="541"/>
      <c r="G749" s="541"/>
    </row>
    <row r="750" spans="1:8" x14ac:dyDescent="0.2">
      <c r="A750" s="545">
        <v>37300</v>
      </c>
      <c r="C750" s="541">
        <f>HLOOKUP("start",ESLData!E$1:E$9983,MATCH($A750,ESLData!$B$1:$B$9983,0))</f>
        <v>254140.95</v>
      </c>
      <c r="E750" s="541">
        <f>HLOOKUP("start",ESLData!F$1:F$9983,MATCH($A750,ESLData!$B$1:$B$9983,0))</f>
        <v>250151</v>
      </c>
      <c r="G750" s="541">
        <f>HLOOKUP("start",ESLData!H$1:H$9983,MATCH($A750,ESLData!$B$1:$B$9983,0))</f>
        <v>265038.81</v>
      </c>
    </row>
    <row r="751" spans="1:8" x14ac:dyDescent="0.2">
      <c r="A751" s="545">
        <v>37305</v>
      </c>
      <c r="C751" s="541">
        <f>HLOOKUP("start",ESLData!E$1:E$9983,MATCH($A751,ESLData!$B$1:$B$9983,0))</f>
        <v>58194.28</v>
      </c>
      <c r="E751" s="541">
        <f>HLOOKUP("start",ESLData!F$1:F$9983,MATCH($A751,ESLData!$B$1:$B$9983,0))</f>
        <v>53392</v>
      </c>
      <c r="G751" s="541">
        <f>HLOOKUP("start",ESLData!H$1:H$9983,MATCH($A751,ESLData!$B$1:$B$9983,0))</f>
        <v>48859.92</v>
      </c>
    </row>
    <row r="752" spans="1:8" x14ac:dyDescent="0.2">
      <c r="A752" s="545">
        <v>37306</v>
      </c>
      <c r="C752" s="541">
        <f>HLOOKUP("start",ESLData!E$1:E$9983,MATCH($A752,ESLData!$B$1:$B$9983,0))</f>
        <v>1586.74</v>
      </c>
      <c r="E752" s="541">
        <f>HLOOKUP("start",ESLData!F$1:F$9983,MATCH($A752,ESLData!$B$1:$B$9983,0))</f>
        <v>6152</v>
      </c>
      <c r="G752" s="541">
        <f>HLOOKUP("start",ESLData!H$1:H$9983,MATCH($A752,ESLData!$B$1:$B$9983,0))</f>
        <v>6432.82</v>
      </c>
    </row>
    <row r="753" spans="1:8" x14ac:dyDescent="0.2">
      <c r="A753" s="545">
        <v>37315</v>
      </c>
      <c r="C753" s="541">
        <f>HLOOKUP("start",ESLData!E$1:E$9983,MATCH($A753,ESLData!$B$1:$B$9983,0))</f>
        <v>0</v>
      </c>
      <c r="E753" s="541">
        <f>HLOOKUP("start",ESLData!F$1:F$9983,MATCH($A753,ESLData!$B$1:$B$9983,0))</f>
        <v>0</v>
      </c>
      <c r="G753" s="541">
        <f>HLOOKUP("start",ESLData!H$1:H$9983,MATCH($A753,ESLData!$B$1:$B$9983,0))</f>
        <v>0</v>
      </c>
    </row>
    <row r="754" spans="1:8" x14ac:dyDescent="0.2">
      <c r="A754" s="545">
        <v>37316</v>
      </c>
      <c r="C754" s="541">
        <f>HLOOKUP("start",ESLData!E$1:E$9983,MATCH($A754,ESLData!$B$1:$B$9983,0))</f>
        <v>947.83</v>
      </c>
      <c r="E754" s="541">
        <f>HLOOKUP("start",ESLData!F$1:F$9983,MATCH($A754,ESLData!$B$1:$B$9983,0))</f>
        <v>1090</v>
      </c>
      <c r="G754" s="541">
        <f>HLOOKUP("start",ESLData!H$1:H$9983,MATCH($A754,ESLData!$B$1:$B$9983,0))</f>
        <v>1702.61</v>
      </c>
    </row>
    <row r="755" spans="1:8" x14ac:dyDescent="0.2">
      <c r="A755" s="545">
        <v>37330</v>
      </c>
      <c r="C755" s="541">
        <f>HLOOKUP("start",ESLData!E$1:E$9983,MATCH($A755,ESLData!$B$1:$B$9983,0))</f>
        <v>0</v>
      </c>
      <c r="E755" s="541">
        <f>HLOOKUP("start",ESLData!F$1:F$9983,MATCH($A755,ESLData!$B$1:$B$9983,0))</f>
        <v>0</v>
      </c>
      <c r="G755" s="541">
        <f>HLOOKUP("start",ESLData!H$1:H$9983,MATCH($A755,ESLData!$B$1:$B$9983,0))</f>
        <v>0</v>
      </c>
    </row>
    <row r="756" spans="1:8" x14ac:dyDescent="0.2">
      <c r="A756" s="545">
        <v>37730</v>
      </c>
      <c r="C756" s="541">
        <f>HLOOKUP("start",ESLData!E$1:E$9983,MATCH($A756,ESLData!$B$1:$B$9983,0))</f>
        <v>17089.28</v>
      </c>
      <c r="E756" s="541">
        <f>HLOOKUP("start",ESLData!F$1:F$9983,MATCH($A756,ESLData!$B$1:$B$9983,0))</f>
        <v>22000</v>
      </c>
      <c r="G756" s="541">
        <f>HLOOKUP("start",ESLData!H$1:H$9983,MATCH($A756,ESLData!$B$1:$B$9983,0))</f>
        <v>18585.900000000001</v>
      </c>
    </row>
    <row r="757" spans="1:8" x14ac:dyDescent="0.2">
      <c r="A757" s="545">
        <v>37735</v>
      </c>
      <c r="C757" s="541">
        <f>HLOOKUP("start",ESLData!E$1:E$9983,MATCH($A757,ESLData!$B$1:$B$9983,0))</f>
        <v>209.74</v>
      </c>
      <c r="E757" s="541">
        <f>HLOOKUP("start",ESLData!F$1:F$9983,MATCH($A757,ESLData!$B$1:$B$9983,0))</f>
        <v>500</v>
      </c>
      <c r="G757" s="541">
        <f>HLOOKUP("start",ESLData!H$1:H$9983,MATCH($A757,ESLData!$B$1:$B$9983,0))</f>
        <v>153.52000000000001</v>
      </c>
    </row>
    <row r="758" spans="1:8" x14ac:dyDescent="0.2">
      <c r="A758" s="545">
        <v>37400</v>
      </c>
      <c r="C758" s="541">
        <f>HLOOKUP("start",ESLData!E$1:E$9983,MATCH($A758,ESLData!$B$1:$B$9983,0))</f>
        <v>16719.900000000001</v>
      </c>
      <c r="D758" s="542">
        <f>SUM(C750:C758)</f>
        <v>348888.72</v>
      </c>
      <c r="E758" s="541">
        <f>HLOOKUP("start",ESLData!F$1:F$9983,MATCH($A758,ESLData!$B$1:$B$9983,0))</f>
        <v>16960</v>
      </c>
      <c r="F758" s="542">
        <f>SUM(E750:E758)</f>
        <v>350245</v>
      </c>
      <c r="G758" s="541">
        <f>HLOOKUP("start",ESLData!H$1:H$9983,MATCH($A758,ESLData!$B$1:$B$9983,0))</f>
        <v>16710.009999999998</v>
      </c>
      <c r="H758" s="542">
        <f>SUM(G750:G758)</f>
        <v>357483.59</v>
      </c>
    </row>
    <row r="759" spans="1:8" x14ac:dyDescent="0.2">
      <c r="A759" s="548" t="s">
        <v>908</v>
      </c>
      <c r="C759" s="541"/>
      <c r="E759" s="541"/>
      <c r="G759" s="541"/>
    </row>
    <row r="760" spans="1:8" x14ac:dyDescent="0.2">
      <c r="A760" s="540">
        <v>37320</v>
      </c>
      <c r="C760" s="541">
        <f>HLOOKUP("start",ESLData!E$1:E$9983,MATCH($A760,ESLData!$B$1:$B$9983,0))</f>
        <v>2754.61</v>
      </c>
      <c r="E760" s="541">
        <f>HLOOKUP("start",ESLData!F$1:F$9983,MATCH($A760,ESLData!$B$1:$B$9983,0))</f>
        <v>1500</v>
      </c>
      <c r="G760" s="541">
        <f>HLOOKUP("start",ESLData!H$1:H$9983,MATCH($A760,ESLData!$B$1:$B$9983,0))</f>
        <v>513.53</v>
      </c>
    </row>
    <row r="761" spans="1:8" x14ac:dyDescent="0.2">
      <c r="A761" s="540">
        <v>37745</v>
      </c>
      <c r="C761" s="541">
        <f>HLOOKUP("start",ESLData!E$1:E$9983,MATCH($A761,ESLData!$B$1:$B$9983,0))</f>
        <v>10814.86</v>
      </c>
      <c r="E761" s="541">
        <f>HLOOKUP("start",ESLData!F$1:F$9983,MATCH($A761,ESLData!$B$1:$B$9983,0))</f>
        <v>4500</v>
      </c>
      <c r="G761" s="541">
        <f>HLOOKUP("start",ESLData!H$1:H$9983,MATCH($A761,ESLData!$B$1:$B$9983,0))</f>
        <v>4317.47</v>
      </c>
    </row>
    <row r="762" spans="1:8" x14ac:dyDescent="0.2">
      <c r="A762" s="540">
        <v>37750</v>
      </c>
      <c r="C762" s="541">
        <f>HLOOKUP("start",ESLData!E$1:E$9983,MATCH($A762,ESLData!$B$1:$B$9983,0))</f>
        <v>1232.82</v>
      </c>
      <c r="E762" s="541">
        <f>HLOOKUP("start",ESLData!F$1:F$9983,MATCH($A762,ESLData!$B$1:$B$9983,0))</f>
        <v>700</v>
      </c>
      <c r="G762" s="541">
        <f>HLOOKUP("start",ESLData!H$1:H$9983,MATCH($A762,ESLData!$B$1:$B$9983,0))</f>
        <v>55.19</v>
      </c>
    </row>
    <row r="763" spans="1:8" x14ac:dyDescent="0.2">
      <c r="A763" s="540">
        <v>34140</v>
      </c>
      <c r="C763" s="541">
        <f>HLOOKUP("start",ESLData!E$1:E$9983,MATCH($A763,ESLData!$B$1:$B$9983,0))</f>
        <v>0</v>
      </c>
      <c r="D763" s="542">
        <f>SUM(C760:C763)</f>
        <v>14802.29</v>
      </c>
      <c r="E763" s="541">
        <f>HLOOKUP("start",ESLData!F$1:F$9983,MATCH($A763,ESLData!$B$1:$B$9983,0))</f>
        <v>0</v>
      </c>
      <c r="F763" s="542">
        <f>SUM(E760:E763)</f>
        <v>6700</v>
      </c>
      <c r="G763" s="541">
        <f>HLOOKUP("start",ESLData!H$1:H$9983,MATCH($A763,ESLData!$B$1:$B$9983,0))</f>
        <v>164.66</v>
      </c>
      <c r="H763" s="542">
        <f>SUM(G760:G763)</f>
        <v>5050.8499999999995</v>
      </c>
    </row>
    <row r="764" spans="1:8" x14ac:dyDescent="0.2">
      <c r="A764" s="548" t="s">
        <v>909</v>
      </c>
      <c r="C764" s="541"/>
      <c r="E764" s="541"/>
      <c r="G764" s="541"/>
    </row>
    <row r="765" spans="1:8" x14ac:dyDescent="0.2">
      <c r="A765" s="545">
        <v>37340</v>
      </c>
      <c r="C765" s="541">
        <f>HLOOKUP("start",ESLData!E$1:E$9983,MATCH($A765,ESLData!$B$1:$B$9983,0))</f>
        <v>33889.71</v>
      </c>
      <c r="E765" s="541">
        <f>HLOOKUP("start",ESLData!F$1:F$9983,MATCH($A765,ESLData!$B$1:$B$9983,0))</f>
        <v>26000</v>
      </c>
      <c r="G765" s="541">
        <f>HLOOKUP("start",ESLData!H$1:H$9983,MATCH($A765,ESLData!$B$1:$B$9983,0))</f>
        <v>29514.52</v>
      </c>
    </row>
    <row r="766" spans="1:8" x14ac:dyDescent="0.2">
      <c r="A766" s="540">
        <v>37740</v>
      </c>
      <c r="C766" s="541">
        <f>HLOOKUP("start",ESLData!E$1:E$9983,MATCH($A766,ESLData!$B$1:$B$9983,0))</f>
        <v>0</v>
      </c>
      <c r="D766" s="542">
        <f>+C765+C766</f>
        <v>33889.71</v>
      </c>
      <c r="E766" s="541">
        <f>HLOOKUP("start",ESLData!F$1:F$9983,MATCH($A766,ESLData!$B$1:$B$9983,0))</f>
        <v>38028</v>
      </c>
      <c r="F766" s="542">
        <f>+E765+E766</f>
        <v>64028</v>
      </c>
      <c r="G766" s="541">
        <f>HLOOKUP("start",ESLData!H$1:H$9983,MATCH($A766,ESLData!$B$1:$B$9983,0))</f>
        <v>0</v>
      </c>
      <c r="H766" s="542">
        <f>SUM(G765:G766)</f>
        <v>29514.52</v>
      </c>
    </row>
    <row r="767" spans="1:8" x14ac:dyDescent="0.2">
      <c r="A767" s="538" t="s">
        <v>915</v>
      </c>
      <c r="C767" s="541"/>
      <c r="E767" s="541"/>
      <c r="G767" s="541"/>
    </row>
    <row r="768" spans="1:8" x14ac:dyDescent="0.2">
      <c r="A768" s="540">
        <v>37500</v>
      </c>
      <c r="C768" s="541">
        <f>HLOOKUP("start",ESLData!E$1:E$9983,MATCH($A768,ESLData!$B$1:$B$9983,0))</f>
        <v>11795.97</v>
      </c>
      <c r="E768" s="541">
        <f>HLOOKUP("start",ESLData!F$1:F$9983,MATCH($A768,ESLData!$B$1:$B$9983,0))</f>
        <v>13558</v>
      </c>
      <c r="G768" s="541">
        <f>HLOOKUP("start",ESLData!H$1:H$9983,MATCH($A768,ESLData!$B$1:$B$9983,0))</f>
        <v>11121.69</v>
      </c>
    </row>
    <row r="769" spans="1:8" x14ac:dyDescent="0.2">
      <c r="A769" s="540">
        <v>37520</v>
      </c>
      <c r="C769" s="541">
        <f>HLOOKUP("start",ESLData!E$1:E$9983,MATCH($A769,ESLData!$B$1:$B$9983,0))</f>
        <v>6123.4</v>
      </c>
      <c r="E769" s="541">
        <f>HLOOKUP("start",ESLData!F$1:F$9983,MATCH($A769,ESLData!$B$1:$B$9983,0))</f>
        <v>6000</v>
      </c>
      <c r="G769" s="541">
        <f>HLOOKUP("start",ESLData!H$1:H$9983,MATCH($A769,ESLData!$B$1:$B$9983,0))</f>
        <v>8354.3799999999992</v>
      </c>
    </row>
    <row r="770" spans="1:8" x14ac:dyDescent="0.2">
      <c r="A770" s="540">
        <v>37530</v>
      </c>
      <c r="C770" s="541">
        <f>HLOOKUP("start",ESLData!E$1:E$9983,MATCH($A770,ESLData!$B$1:$B$9983,0))</f>
        <v>513.07000000000005</v>
      </c>
      <c r="E770" s="541">
        <f>HLOOKUP("start",ESLData!F$1:F$9983,MATCH($A770,ESLData!$B$1:$B$9983,0))</f>
        <v>500</v>
      </c>
      <c r="G770" s="541">
        <f>HLOOKUP("start",ESLData!H$1:H$9983,MATCH($A770,ESLData!$B$1:$B$9983,0))</f>
        <v>53.91</v>
      </c>
    </row>
    <row r="771" spans="1:8" x14ac:dyDescent="0.2">
      <c r="A771" s="540">
        <v>37540</v>
      </c>
      <c r="C771" s="541">
        <f>HLOOKUP("start",ESLData!E$1:E$9983,MATCH($A771,ESLData!$B$1:$B$9983,0))</f>
        <v>13.15</v>
      </c>
      <c r="E771" s="541">
        <f>HLOOKUP("start",ESLData!F$1:F$9983,MATCH($A771,ESLData!$B$1:$B$9983,0))</f>
        <v>500</v>
      </c>
      <c r="G771" s="541">
        <f>HLOOKUP("start",ESLData!H$1:H$9983,MATCH($A771,ESLData!$B$1:$B$9983,0))</f>
        <v>378.31</v>
      </c>
    </row>
    <row r="772" spans="1:8" x14ac:dyDescent="0.2">
      <c r="A772" s="540">
        <v>37965</v>
      </c>
      <c r="C772" s="541">
        <f>HLOOKUP("start",ESLData!E$1:E$9983,MATCH($A772,ESLData!$B$1:$B$9983,0))</f>
        <v>0</v>
      </c>
      <c r="D772" s="542">
        <f>SUM(C768:C772)</f>
        <v>18445.59</v>
      </c>
      <c r="E772" s="541">
        <f>HLOOKUP("start",ESLData!F$1:F$9983,MATCH($A772,ESLData!$B$1:$B$9983,0))</f>
        <v>0</v>
      </c>
      <c r="F772" s="542">
        <f>SUM(E768:E772)</f>
        <v>20558</v>
      </c>
      <c r="G772" s="541">
        <f>HLOOKUP("start",ESLData!H$1:H$9983,MATCH($A772,ESLData!$B$1:$B$9983,0))</f>
        <v>0</v>
      </c>
      <c r="H772" s="542">
        <f>SUM(G768:G772)</f>
        <v>19908.29</v>
      </c>
    </row>
    <row r="773" spans="1:8" ht="15.75" x14ac:dyDescent="0.2">
      <c r="A773" s="549" t="s">
        <v>882</v>
      </c>
      <c r="C773" s="541"/>
      <c r="E773" s="541"/>
      <c r="G773" s="541"/>
    </row>
    <row r="774" spans="1:8" x14ac:dyDescent="0.2">
      <c r="A774" s="548" t="s">
        <v>845</v>
      </c>
      <c r="C774" s="541"/>
      <c r="E774" s="541"/>
      <c r="G774" s="541"/>
    </row>
    <row r="775" spans="1:8" x14ac:dyDescent="0.2">
      <c r="A775" s="540">
        <v>33010</v>
      </c>
      <c r="C775" s="541">
        <f>HLOOKUP("start",ESLData!E$1:E$9983,MATCH($A775,ESLData!$B$1:$B$9983,0))</f>
        <v>218243.33</v>
      </c>
      <c r="E775" s="541">
        <f>HLOOKUP("start",ESLData!F$1:F$9983,MATCH($A775,ESLData!$B$1:$B$9983,0))</f>
        <v>260239</v>
      </c>
      <c r="G775" s="541">
        <f>HLOOKUP("start",ESLData!H$1:H$9983,MATCH($A775,ESLData!$B$1:$B$9983,0))</f>
        <v>197138.61</v>
      </c>
    </row>
    <row r="776" spans="1:8" x14ac:dyDescent="0.2">
      <c r="A776" s="540">
        <v>33020</v>
      </c>
      <c r="C776" s="541">
        <f>HLOOKUP("start",ESLData!E$1:E$9983,MATCH($A776,ESLData!$B$1:$B$9983,0))</f>
        <v>0</v>
      </c>
      <c r="E776" s="541">
        <f>HLOOKUP("start",ESLData!F$1:F$9983,MATCH($A776,ESLData!$B$1:$B$9983,0))</f>
        <v>1276</v>
      </c>
      <c r="G776" s="541">
        <f>HLOOKUP("start",ESLData!H$1:H$9983,MATCH($A776,ESLData!$B$1:$B$9983,0))</f>
        <v>1632.02</v>
      </c>
    </row>
    <row r="777" spans="1:8" x14ac:dyDescent="0.2">
      <c r="A777" s="540">
        <v>33040</v>
      </c>
      <c r="C777" s="541">
        <f>HLOOKUP("start",ESLData!E$1:E$9983,MATCH($A777,ESLData!$B$1:$B$9983,0))</f>
        <v>1094.48</v>
      </c>
      <c r="E777" s="541">
        <f>HLOOKUP("start",ESLData!F$1:F$9983,MATCH($A777,ESLData!$B$1:$B$9983,0))</f>
        <v>500</v>
      </c>
      <c r="G777" s="541">
        <f>HLOOKUP("start",ESLData!H$1:H$9983,MATCH($A777,ESLData!$B$1:$B$9983,0))</f>
        <v>237</v>
      </c>
    </row>
    <row r="778" spans="1:8" x14ac:dyDescent="0.2">
      <c r="A778" s="540">
        <v>33070</v>
      </c>
      <c r="C778" s="541">
        <f>HLOOKUP("start",ESLData!E$1:E$9983,MATCH($A778,ESLData!$B$1:$B$9983,0))</f>
        <v>129.87</v>
      </c>
      <c r="E778" s="541">
        <f>HLOOKUP("start",ESLData!F$1:F$9983,MATCH($A778,ESLData!$B$1:$B$9983,0))</f>
        <v>500</v>
      </c>
      <c r="G778" s="541">
        <f>HLOOKUP("start",ESLData!H$1:H$9983,MATCH($A778,ESLData!$B$1:$B$9983,0))</f>
        <v>367.77</v>
      </c>
    </row>
    <row r="779" spans="1:8" x14ac:dyDescent="0.2">
      <c r="A779" s="540">
        <v>33285</v>
      </c>
      <c r="C779" s="541">
        <f>HLOOKUP("start",ESLData!E$1:E$9983,MATCH($A779,ESLData!$B$1:$B$9983,0))</f>
        <v>6265.61</v>
      </c>
      <c r="E779" s="541">
        <f>HLOOKUP("start",ESLData!F$1:F$9983,MATCH($A779,ESLData!$B$1:$B$9983,0))</f>
        <v>7420</v>
      </c>
      <c r="G779" s="541">
        <f>HLOOKUP("start",ESLData!H$1:H$9983,MATCH($A779,ESLData!$B$1:$B$9983,0))</f>
        <v>6901.96</v>
      </c>
    </row>
    <row r="780" spans="1:8" x14ac:dyDescent="0.2">
      <c r="A780" s="540">
        <v>33550</v>
      </c>
      <c r="C780" s="541">
        <f>HLOOKUP("start",ESLData!E$1:E$9983,MATCH($A780,ESLData!$B$1:$B$9983,0))</f>
        <v>-77.38</v>
      </c>
      <c r="D780" s="542">
        <f>SUM(C775:C780)</f>
        <v>225655.90999999997</v>
      </c>
      <c r="E780" s="541">
        <f>HLOOKUP("start",ESLData!F$1:F$9983,MATCH($A780,ESLData!$B$1:$B$9983,0))</f>
        <v>12208</v>
      </c>
      <c r="F780" s="542">
        <f>SUM(E775:E780)</f>
        <v>282143</v>
      </c>
      <c r="G780" s="541">
        <f>HLOOKUP("start",ESLData!H$1:H$9983,MATCH($A780,ESLData!$B$1:$B$9983,0))</f>
        <v>14553.57</v>
      </c>
      <c r="H780" s="542">
        <f>SUM(G775:G780)</f>
        <v>220830.92999999996</v>
      </c>
    </row>
    <row r="781" spans="1:8" x14ac:dyDescent="0.2">
      <c r="A781" s="548" t="s">
        <v>908</v>
      </c>
      <c r="C781" s="541"/>
      <c r="E781" s="541"/>
      <c r="G781" s="541"/>
    </row>
    <row r="782" spans="1:8" x14ac:dyDescent="0.2">
      <c r="A782" s="540">
        <v>33050</v>
      </c>
      <c r="C782" s="541">
        <f>HLOOKUP("start",ESLData!E$1:E$9983,MATCH($A782,ESLData!$B$1:$B$9983,0))</f>
        <v>210</v>
      </c>
      <c r="E782" s="541">
        <f>HLOOKUP("start",ESLData!F$1:F$9983,MATCH($A782,ESLData!$B$1:$B$9983,0))</f>
        <v>850</v>
      </c>
      <c r="G782" s="541">
        <f>HLOOKUP("start",ESLData!H$1:H$9983,MATCH($A782,ESLData!$B$1:$B$9983,0))</f>
        <v>439.13</v>
      </c>
    </row>
    <row r="783" spans="1:8" x14ac:dyDescent="0.2">
      <c r="A783" s="538" t="s">
        <v>902</v>
      </c>
      <c r="C783" s="541"/>
      <c r="E783" s="541"/>
      <c r="G783" s="541"/>
    </row>
    <row r="784" spans="1:8" x14ac:dyDescent="0.2">
      <c r="A784" s="540">
        <v>33220</v>
      </c>
      <c r="C784" s="541">
        <f>HLOOKUP("start",ESLData!E$1:E$9983,MATCH($A784,ESLData!$B$1:$B$9983,0))</f>
        <v>0</v>
      </c>
      <c r="E784" s="541">
        <f>HLOOKUP("start",ESLData!F$1:F$9983,MATCH($A784,ESLData!$B$1:$B$9983,0))</f>
        <v>0</v>
      </c>
      <c r="G784" s="541">
        <f>HLOOKUP("start",ESLData!H$1:H$9983,MATCH($A784,ESLData!$B$1:$B$9983,0))</f>
        <v>0</v>
      </c>
    </row>
    <row r="785" spans="1:8" x14ac:dyDescent="0.2">
      <c r="A785" s="540">
        <v>33540</v>
      </c>
      <c r="C785" s="541">
        <f>HLOOKUP("start",ESLData!E$1:E$9983,MATCH($A785,ESLData!$B$1:$B$9983,0))</f>
        <v>300</v>
      </c>
      <c r="E785" s="541">
        <f>HLOOKUP("start",ESLData!F$1:F$9983,MATCH($A785,ESLData!$B$1:$B$9983,0))</f>
        <v>500</v>
      </c>
      <c r="G785" s="541">
        <f>HLOOKUP("start",ESLData!H$1:H$9983,MATCH($A785,ESLData!$B$1:$B$9983,0))</f>
        <v>0</v>
      </c>
    </row>
    <row r="786" spans="1:8" x14ac:dyDescent="0.2">
      <c r="A786" s="540">
        <v>33555</v>
      </c>
      <c r="C786" s="541">
        <f>HLOOKUP("start",ESLData!E$1:E$9983,MATCH($A786,ESLData!$B$1:$B$9983,0))</f>
        <v>0</v>
      </c>
      <c r="E786" s="541">
        <f>HLOOKUP("start",ESLData!F$1:F$9983,MATCH($A786,ESLData!$B$1:$B$9983,0))</f>
        <v>0</v>
      </c>
      <c r="G786" s="541">
        <f>HLOOKUP("start",ESLData!H$1:H$9983,MATCH($A786,ESLData!$B$1:$B$9983,0))</f>
        <v>0</v>
      </c>
    </row>
    <row r="787" spans="1:8" x14ac:dyDescent="0.2">
      <c r="A787" s="540">
        <v>33580</v>
      </c>
      <c r="C787" s="541">
        <f>HLOOKUP("start",ESLData!E$1:E$9983,MATCH($A787,ESLData!$B$1:$B$9983,0))</f>
        <v>1955.59</v>
      </c>
      <c r="E787" s="541">
        <f>HLOOKUP("start",ESLData!F$1:F$9983,MATCH($A787,ESLData!$B$1:$B$9983,0))</f>
        <v>2300</v>
      </c>
      <c r="G787" s="541">
        <f>HLOOKUP("start",ESLData!H$1:H$9983,MATCH($A787,ESLData!$B$1:$B$9983,0))</f>
        <v>1507.79</v>
      </c>
    </row>
    <row r="788" spans="1:8" x14ac:dyDescent="0.2">
      <c r="A788" s="540">
        <v>33590</v>
      </c>
      <c r="C788" s="541">
        <f>HLOOKUP("start",ESLData!E$1:E$9983,MATCH($A788,ESLData!$B$1:$B$9983,0))</f>
        <v>1378.18</v>
      </c>
      <c r="E788" s="541">
        <f>HLOOKUP("start",ESLData!F$1:F$9983,MATCH($A788,ESLData!$B$1:$B$9983,0))</f>
        <v>1500</v>
      </c>
      <c r="G788" s="541">
        <f>HLOOKUP("start",ESLData!H$1:H$9983,MATCH($A788,ESLData!$B$1:$B$9983,0))</f>
        <v>1205.1500000000001</v>
      </c>
    </row>
    <row r="789" spans="1:8" x14ac:dyDescent="0.2">
      <c r="A789" s="540">
        <v>33600</v>
      </c>
      <c r="C789" s="541">
        <f>HLOOKUP("start",ESLData!E$1:E$9983,MATCH($A789,ESLData!$B$1:$B$9983,0))</f>
        <v>367.57</v>
      </c>
      <c r="E789" s="541">
        <f>HLOOKUP("start",ESLData!F$1:F$9983,MATCH($A789,ESLData!$B$1:$B$9983,0))</f>
        <v>850</v>
      </c>
      <c r="G789" s="541">
        <f>HLOOKUP("start",ESLData!H$1:H$9983,MATCH($A789,ESLData!$B$1:$B$9983,0))</f>
        <v>341.96</v>
      </c>
    </row>
    <row r="790" spans="1:8" x14ac:dyDescent="0.2">
      <c r="A790" s="540">
        <v>33610</v>
      </c>
      <c r="C790" s="541">
        <f>HLOOKUP("start",ESLData!E$1:E$9983,MATCH($A790,ESLData!$B$1:$B$9983,0))</f>
        <v>273.5</v>
      </c>
      <c r="E790" s="541">
        <f>HLOOKUP("start",ESLData!F$1:F$9983,MATCH($A790,ESLData!$B$1:$B$9983,0))</f>
        <v>750</v>
      </c>
      <c r="G790" s="541">
        <f>HLOOKUP("start",ESLData!H$1:H$9983,MATCH($A790,ESLData!$B$1:$B$9983,0))</f>
        <v>171.6</v>
      </c>
    </row>
    <row r="791" spans="1:8" x14ac:dyDescent="0.2">
      <c r="A791" s="540">
        <v>33290</v>
      </c>
      <c r="C791" s="541">
        <f>HLOOKUP("start",ESLData!E$1:E$9983,MATCH($A791,ESLData!$B$1:$B$9983,0))</f>
        <v>20</v>
      </c>
      <c r="E791" s="541">
        <f>HLOOKUP("start",ESLData!F$1:F$9983,MATCH($A791,ESLData!$B$1:$B$9983,0))</f>
        <v>200</v>
      </c>
      <c r="G791" s="541">
        <f>HLOOKUP("start",ESLData!H$1:H$9983,MATCH($A791,ESLData!$B$1:$B$9983,0))</f>
        <v>0</v>
      </c>
    </row>
    <row r="792" spans="1:8" x14ac:dyDescent="0.2">
      <c r="A792" s="540">
        <v>33295</v>
      </c>
      <c r="C792" s="541">
        <f>HLOOKUP("start",ESLData!E$1:E$9983,MATCH($A792,ESLData!$B$1:$B$9983,0))</f>
        <v>0</v>
      </c>
      <c r="D792" s="542">
        <f>SUM(C784:C792)</f>
        <v>4294.84</v>
      </c>
      <c r="E792" s="541">
        <f>HLOOKUP("start",ESLData!F$1:F$9983,MATCH($A792,ESLData!$B$1:$B$9983,0))</f>
        <v>200</v>
      </c>
      <c r="F792" s="542">
        <f>SUM(E784:E792)</f>
        <v>6300</v>
      </c>
      <c r="G792" s="541">
        <f>HLOOKUP("start",ESLData!H$1:H$9983,MATCH($A792,ESLData!$B$1:$B$9983,0))</f>
        <v>0</v>
      </c>
      <c r="H792" s="542">
        <f>SUM(G784:G792)</f>
        <v>3226.5</v>
      </c>
    </row>
    <row r="793" spans="1:8" x14ac:dyDescent="0.2">
      <c r="A793" s="538" t="s">
        <v>913</v>
      </c>
      <c r="C793" s="541"/>
      <c r="E793" s="541"/>
      <c r="G793" s="541"/>
    </row>
    <row r="794" spans="1:8" x14ac:dyDescent="0.2">
      <c r="A794" s="540">
        <v>33450</v>
      </c>
      <c r="C794" s="541">
        <f>HLOOKUP("start",ESLData!E$1:E$9983,MATCH($A794,ESLData!$B$1:$B$9983,0))</f>
        <v>30277.06</v>
      </c>
      <c r="E794" s="541">
        <f>HLOOKUP("start",ESLData!F$1:F$9983,MATCH($A794,ESLData!$B$1:$B$9983,0))</f>
        <v>39000</v>
      </c>
      <c r="G794" s="541">
        <f>HLOOKUP("start",ESLData!H$1:H$9983,MATCH($A794,ESLData!$B$1:$B$9983,0))</f>
        <v>29140.22</v>
      </c>
    </row>
    <row r="795" spans="1:8" x14ac:dyDescent="0.2">
      <c r="A795" s="540">
        <v>33310</v>
      </c>
      <c r="C795" s="541">
        <f>HLOOKUP("start",ESLData!E$1:E$9983,MATCH($A795,ESLData!$B$1:$B$9983,0))</f>
        <v>0</v>
      </c>
      <c r="E795" s="541">
        <f>HLOOKUP("start",ESLData!F$1:F$9983,MATCH($A795,ESLData!$B$1:$B$9983,0))</f>
        <v>0</v>
      </c>
      <c r="G795" s="541">
        <f>HLOOKUP("start",ESLData!H$1:H$9983,MATCH($A795,ESLData!$B$1:$B$9983,0))</f>
        <v>0</v>
      </c>
    </row>
    <row r="796" spans="1:8" x14ac:dyDescent="0.2">
      <c r="A796" s="540">
        <v>33460</v>
      </c>
      <c r="C796" s="541">
        <f>HLOOKUP("start",ESLData!E$1:E$9983,MATCH($A796,ESLData!$B$1:$B$9983,0))</f>
        <v>40144</v>
      </c>
      <c r="E796" s="541">
        <f>HLOOKUP("start",ESLData!F$1:F$9983,MATCH($A796,ESLData!$B$1:$B$9983,0))</f>
        <v>39000</v>
      </c>
      <c r="G796" s="541">
        <f>HLOOKUP("start",ESLData!H$1:H$9983,MATCH($A796,ESLData!$B$1:$B$9983,0))</f>
        <v>32493.93</v>
      </c>
    </row>
    <row r="797" spans="1:8" x14ac:dyDescent="0.2">
      <c r="A797" s="540">
        <v>33470</v>
      </c>
      <c r="C797" s="541">
        <f>HLOOKUP("start",ESLData!E$1:E$9983,MATCH($A797,ESLData!$B$1:$B$9983,0))</f>
        <v>38961.01</v>
      </c>
      <c r="E797" s="541">
        <f>HLOOKUP("start",ESLData!F$1:F$9983,MATCH($A797,ESLData!$B$1:$B$9983,0))</f>
        <v>39000</v>
      </c>
      <c r="G797" s="541">
        <f>HLOOKUP("start",ESLData!H$1:H$9983,MATCH($A797,ESLData!$B$1:$B$9983,0))</f>
        <v>36244.870000000003</v>
      </c>
    </row>
    <row r="798" spans="1:8" x14ac:dyDescent="0.2">
      <c r="A798" s="540">
        <v>33475</v>
      </c>
      <c r="C798" s="541">
        <f>HLOOKUP("start",ESLData!E$1:E$9983,MATCH($A798,ESLData!$B$1:$B$9983,0))</f>
        <v>0</v>
      </c>
      <c r="E798" s="541">
        <f>HLOOKUP("start",ESLData!F$1:F$9983,MATCH($A798,ESLData!$B$1:$B$9983,0))</f>
        <v>0</v>
      </c>
      <c r="G798" s="541">
        <f>HLOOKUP("start",ESLData!H$1:H$9983,MATCH($A798,ESLData!$B$1:$B$9983,0))</f>
        <v>0</v>
      </c>
    </row>
    <row r="799" spans="1:8" x14ac:dyDescent="0.2">
      <c r="A799" s="540">
        <v>33530</v>
      </c>
      <c r="C799" s="541">
        <f>HLOOKUP("start",ESLData!E$1:E$9983,MATCH($A799,ESLData!$B$1:$B$9983,0))</f>
        <v>0</v>
      </c>
      <c r="E799" s="541">
        <f>HLOOKUP("start",ESLData!F$1:F$9983,MATCH($A799,ESLData!$B$1:$B$9983,0))</f>
        <v>0</v>
      </c>
      <c r="G799" s="541">
        <f>HLOOKUP("start",ESLData!H$1:H$9983,MATCH($A799,ESLData!$B$1:$B$9983,0))</f>
        <v>0</v>
      </c>
    </row>
    <row r="800" spans="1:8" x14ac:dyDescent="0.2">
      <c r="A800" s="540">
        <v>33480</v>
      </c>
      <c r="C800" s="541">
        <f>HLOOKUP("start",ESLData!E$1:E$9983,MATCH($A800,ESLData!$B$1:$B$9983,0))</f>
        <v>1911.12</v>
      </c>
      <c r="E800" s="541">
        <f>HLOOKUP("start",ESLData!F$1:F$9983,MATCH($A800,ESLData!$B$1:$B$9983,0))</f>
        <v>9000</v>
      </c>
      <c r="G800" s="541">
        <f>HLOOKUP("start",ESLData!H$1:H$9983,MATCH($A800,ESLData!$B$1:$B$9983,0))</f>
        <v>700.02</v>
      </c>
    </row>
    <row r="801" spans="1:8" x14ac:dyDescent="0.2">
      <c r="A801" s="540">
        <v>33515</v>
      </c>
      <c r="C801" s="541">
        <f>HLOOKUP("start",ESLData!E$1:E$9983,MATCH($A801,ESLData!$B$1:$B$9983,0))</f>
        <v>0</v>
      </c>
      <c r="E801" s="541">
        <f>HLOOKUP("start",ESLData!F$1:F$9983,MATCH($A801,ESLData!$B$1:$B$9983,0))</f>
        <v>0</v>
      </c>
      <c r="G801" s="541">
        <f>HLOOKUP("start",ESLData!H$1:H$9983,MATCH($A801,ESLData!$B$1:$B$9983,0))</f>
        <v>0</v>
      </c>
    </row>
    <row r="802" spans="1:8" x14ac:dyDescent="0.2">
      <c r="A802" s="540">
        <v>33495</v>
      </c>
      <c r="C802" s="541">
        <f>HLOOKUP("start",ESLData!E$1:E$9983,MATCH($A802,ESLData!$B$1:$B$9983,0))</f>
        <v>0</v>
      </c>
      <c r="E802" s="541">
        <f>HLOOKUP("start",ESLData!F$1:F$9983,MATCH($A802,ESLData!$B$1:$B$9983,0))</f>
        <v>0</v>
      </c>
      <c r="G802" s="541">
        <f>HLOOKUP("start",ESLData!H$1:H$9983,MATCH($A802,ESLData!$B$1:$B$9983,0))</f>
        <v>0</v>
      </c>
    </row>
    <row r="803" spans="1:8" x14ac:dyDescent="0.2">
      <c r="A803" s="540">
        <v>33512</v>
      </c>
      <c r="C803" s="541">
        <f>HLOOKUP("start",ESLData!E$1:E$9983,MATCH($A803,ESLData!$B$1:$B$9983,0))</f>
        <v>2269.56</v>
      </c>
      <c r="D803" s="542">
        <f>SUM(C794:C803)</f>
        <v>113562.75</v>
      </c>
      <c r="E803" s="541">
        <f>HLOOKUP("start",ESLData!F$1:F$9983,MATCH($A803,ESLData!$B$1:$B$9983,0))</f>
        <v>0</v>
      </c>
      <c r="F803" s="542">
        <f>SUM(E794:E803)</f>
        <v>126000</v>
      </c>
      <c r="G803" s="541">
        <f>HLOOKUP("start",ESLData!H$1:H$9983,MATCH($A803,ESLData!$B$1:$B$9983,0))</f>
        <v>1260</v>
      </c>
      <c r="H803" s="542">
        <f>SUM(G794:G803)</f>
        <v>99839.040000000008</v>
      </c>
    </row>
    <row r="804" spans="1:8" x14ac:dyDescent="0.2">
      <c r="A804" s="538" t="s">
        <v>828</v>
      </c>
      <c r="C804" s="541"/>
      <c r="E804" s="541"/>
      <c r="G804" s="541"/>
    </row>
    <row r="805" spans="1:8" x14ac:dyDescent="0.2">
      <c r="A805" s="540">
        <v>33560</v>
      </c>
      <c r="C805" s="541">
        <f>HLOOKUP("start",ESLData!E$1:E$9983,MATCH($A805,ESLData!$B$1:$B$9983,0))</f>
        <v>793.64</v>
      </c>
      <c r="E805" s="541">
        <f>HLOOKUP("start",ESLData!F$1:F$9983,MATCH($A805,ESLData!$B$1:$B$9983,0))</f>
        <v>4000</v>
      </c>
      <c r="G805" s="541">
        <f>HLOOKUP("start",ESLData!H$1:H$9983,MATCH($A805,ESLData!$B$1:$B$9983,0))</f>
        <v>1664.74</v>
      </c>
    </row>
    <row r="806" spans="1:8" x14ac:dyDescent="0.2">
      <c r="A806" s="548" t="s">
        <v>917</v>
      </c>
      <c r="C806" s="541"/>
      <c r="E806" s="541"/>
      <c r="G806" s="541"/>
    </row>
    <row r="807" spans="1:8" x14ac:dyDescent="0.2">
      <c r="A807" s="540">
        <v>33500</v>
      </c>
      <c r="C807" s="541">
        <f>HLOOKUP("start",ESLData!E$1:E$9983,MATCH($A807,ESLData!$B$1:$B$9983,0))</f>
        <v>6519.59</v>
      </c>
      <c r="E807" s="541">
        <f>HLOOKUP("start",ESLData!F$1:F$9983,MATCH($A807,ESLData!$B$1:$B$9983,0))</f>
        <v>20500</v>
      </c>
      <c r="G807" s="541">
        <f>HLOOKUP("start",ESLData!H$1:H$9983,MATCH($A807,ESLData!$B$1:$B$9983,0))</f>
        <v>5137.8999999999996</v>
      </c>
    </row>
    <row r="808" spans="1:8" x14ac:dyDescent="0.2">
      <c r="A808" s="540">
        <v>33502</v>
      </c>
      <c r="C808" s="541">
        <f>HLOOKUP("start",ESLData!E$1:E$9983,MATCH($A808,ESLData!$B$1:$B$9983,0))</f>
        <v>0</v>
      </c>
      <c r="E808" s="541">
        <f>HLOOKUP("start",ESLData!F$1:F$9983,MATCH($A808,ESLData!$B$1:$B$9983,0))</f>
        <v>0</v>
      </c>
      <c r="G808" s="541">
        <f>HLOOKUP("start",ESLData!H$1:H$9983,MATCH($A808,ESLData!$B$1:$B$9983,0))</f>
        <v>0</v>
      </c>
    </row>
    <row r="809" spans="1:8" x14ac:dyDescent="0.2">
      <c r="A809" s="540">
        <v>33510</v>
      </c>
      <c r="C809" s="541">
        <f>HLOOKUP("start",ESLData!E$1:E$9983,MATCH($A809,ESLData!$B$1:$B$9983,0))</f>
        <v>0</v>
      </c>
      <c r="E809" s="541">
        <f>HLOOKUP("start",ESLData!F$1:F$9983,MATCH($A809,ESLData!$B$1:$B$9983,0))</f>
        <v>0</v>
      </c>
      <c r="G809" s="541">
        <f>HLOOKUP("start",ESLData!H$1:H$9983,MATCH($A809,ESLData!$B$1:$B$9983,0))</f>
        <v>0</v>
      </c>
    </row>
    <row r="810" spans="1:8" x14ac:dyDescent="0.2">
      <c r="A810" s="540">
        <v>33520</v>
      </c>
      <c r="C810" s="541">
        <f>HLOOKUP("start",ESLData!E$1:E$9983,MATCH($A810,ESLData!$B$1:$B$9983,0))</f>
        <v>4713.0200000000004</v>
      </c>
      <c r="E810" s="541">
        <f>HLOOKUP("start",ESLData!F$1:F$9983,MATCH($A810,ESLData!$B$1:$B$9983,0))</f>
        <v>5000</v>
      </c>
      <c r="G810" s="541">
        <f>HLOOKUP("start",ESLData!H$1:H$9983,MATCH($A810,ESLData!$B$1:$B$9983,0))</f>
        <v>3535.55</v>
      </c>
    </row>
    <row r="811" spans="1:8" x14ac:dyDescent="0.2">
      <c r="A811" s="540">
        <v>33525</v>
      </c>
      <c r="C811" s="541">
        <f>HLOOKUP("start",ESLData!E$1:E$9983,MATCH($A811,ESLData!$B$1:$B$9983,0))</f>
        <v>41139.94</v>
      </c>
      <c r="D811" s="542">
        <f>SUM(C807:C811)</f>
        <v>52372.55</v>
      </c>
      <c r="E811" s="541">
        <f>HLOOKUP("start",ESLData!F$1:F$9983,MATCH($A811,ESLData!$B$1:$B$9983,0))</f>
        <v>41860</v>
      </c>
      <c r="F811" s="542">
        <f>SUM(E807:E811)</f>
        <v>67360</v>
      </c>
      <c r="G811" s="541">
        <f>HLOOKUP("start",ESLData!H$1:H$9983,MATCH($A811,ESLData!$B$1:$B$9983,0))</f>
        <v>40907.57</v>
      </c>
      <c r="H811" s="542">
        <f>SUM(G807:G811)</f>
        <v>49581.020000000004</v>
      </c>
    </row>
    <row r="812" spans="1:8" x14ac:dyDescent="0.2">
      <c r="A812" s="538" t="s">
        <v>903</v>
      </c>
      <c r="C812" s="541"/>
      <c r="E812" s="541"/>
      <c r="G812" s="541"/>
    </row>
    <row r="813" spans="1:8" x14ac:dyDescent="0.2">
      <c r="A813" s="540">
        <v>33430</v>
      </c>
      <c r="C813" s="541">
        <f>HLOOKUP("start",ESLData!E$1:E$9983,MATCH($A813,ESLData!$B$1:$B$9983,0))</f>
        <v>6382</v>
      </c>
      <c r="E813" s="541">
        <f>HLOOKUP("start",ESLData!F$1:F$9983,MATCH($A813,ESLData!$B$1:$B$9983,0))</f>
        <v>6382</v>
      </c>
      <c r="G813" s="541">
        <f>HLOOKUP("start",ESLData!H$1:H$9983,MATCH($A813,ESLData!$B$1:$B$9983,0))</f>
        <v>6580</v>
      </c>
    </row>
    <row r="814" spans="1:8" x14ac:dyDescent="0.2">
      <c r="A814" s="540">
        <v>33440</v>
      </c>
      <c r="C814" s="541">
        <f>HLOOKUP("start",ESLData!E$1:E$9983,MATCH($A814,ESLData!$B$1:$B$9983,0))</f>
        <v>1986.25</v>
      </c>
      <c r="E814" s="541">
        <f>HLOOKUP("start",ESLData!F$1:F$9983,MATCH($A814,ESLData!$B$1:$B$9983,0))</f>
        <v>2874</v>
      </c>
      <c r="G814" s="541">
        <f>HLOOKUP("start",ESLData!H$1:H$9983,MATCH($A814,ESLData!$B$1:$B$9983,0))</f>
        <v>3341.81</v>
      </c>
    </row>
    <row r="815" spans="1:8" x14ac:dyDescent="0.2">
      <c r="A815" s="540">
        <v>33400</v>
      </c>
      <c r="C815" s="541">
        <f>HLOOKUP("start",ESLData!E$1:E$9983,MATCH($A815,ESLData!$B$1:$B$9983,0))</f>
        <v>1498.89</v>
      </c>
      <c r="E815" s="541">
        <f>HLOOKUP("start",ESLData!F$1:F$9983,MATCH($A815,ESLData!$B$1:$B$9983,0))</f>
        <v>4500</v>
      </c>
      <c r="G815" s="541">
        <f>HLOOKUP("start",ESLData!H$1:H$9983,MATCH($A815,ESLData!$B$1:$B$9983,0))</f>
        <v>1771.88</v>
      </c>
    </row>
    <row r="816" spans="1:8" x14ac:dyDescent="0.2">
      <c r="A816" s="540">
        <v>33410</v>
      </c>
      <c r="C816" s="541">
        <f>HLOOKUP("start",ESLData!E$1:E$9983,MATCH($A816,ESLData!$B$1:$B$9983,0))</f>
        <v>395.25</v>
      </c>
      <c r="D816" s="542"/>
      <c r="E816" s="541">
        <f>HLOOKUP("start",ESLData!F$1:F$9983,MATCH($A816,ESLData!$B$1:$B$9983,0))</f>
        <v>730</v>
      </c>
      <c r="F816" s="542"/>
      <c r="G816" s="541">
        <f>HLOOKUP("start",ESLData!H$1:H$9983,MATCH($A816,ESLData!$B$1:$B$9983,0))</f>
        <v>607.17999999999995</v>
      </c>
    </row>
    <row r="817" spans="1:8" x14ac:dyDescent="0.2">
      <c r="A817" s="540">
        <v>33420</v>
      </c>
      <c r="C817" s="541">
        <f>HLOOKUP("start",ESLData!E$1:E$9983,MATCH($A817,ESLData!$B$1:$B$9983,0))</f>
        <v>829.03</v>
      </c>
      <c r="D817" s="542">
        <f>SUM(C813:C817)</f>
        <v>11091.42</v>
      </c>
      <c r="E817" s="541">
        <f>HLOOKUP("start",ESLData!F$1:F$9983,MATCH($A817,ESLData!$B$1:$B$9983,0))</f>
        <v>2000</v>
      </c>
      <c r="F817" s="542">
        <f>SUM(E813:E817)</f>
        <v>16486</v>
      </c>
      <c r="G817" s="541">
        <f>HLOOKUP("start",ESLData!H$1:H$9983,MATCH($A817,ESLData!$B$1:$B$9983,0))</f>
        <v>251.48</v>
      </c>
      <c r="H817" s="542">
        <f>SUM(G813:G817)</f>
        <v>12552.349999999999</v>
      </c>
    </row>
    <row r="818" spans="1:8" x14ac:dyDescent="0.2">
      <c r="A818" s="546" t="s">
        <v>918</v>
      </c>
      <c r="C818" s="541"/>
      <c r="E818" s="541"/>
      <c r="G818" s="541"/>
    </row>
    <row r="819" spans="1:8" x14ac:dyDescent="0.2">
      <c r="A819" s="548" t="s">
        <v>906</v>
      </c>
      <c r="C819" s="541"/>
      <c r="E819" s="541"/>
      <c r="G819" s="541"/>
    </row>
    <row r="820" spans="1:8" x14ac:dyDescent="0.2">
      <c r="A820" s="540">
        <v>38320</v>
      </c>
      <c r="C820" s="541">
        <f>HLOOKUP("start",ESLData!E$1:E$9983,MATCH($A820,ESLData!$B$1:$B$9983,0))</f>
        <v>81.510000000000005</v>
      </c>
      <c r="E820" s="541">
        <f>HLOOKUP("start",ESLData!F$1:F$9983,MATCH($A820,ESLData!$B$1:$B$9983,0))</f>
        <v>150</v>
      </c>
      <c r="G820" s="541">
        <f>HLOOKUP("start",ESLData!H$1:H$9983,MATCH($A820,ESLData!$B$1:$B$9983,0))</f>
        <v>19.510000000000002</v>
      </c>
    </row>
    <row r="821" spans="1:8" x14ac:dyDescent="0.2">
      <c r="A821" s="540">
        <v>38350</v>
      </c>
      <c r="C821" s="541">
        <f>HLOOKUP("start",ESLData!E$1:E$9983,MATCH($A821,ESLData!$B$1:$B$9983,0))</f>
        <v>2602.2199999999998</v>
      </c>
      <c r="D821" s="542">
        <f>+C820+C821</f>
        <v>2683.73</v>
      </c>
      <c r="E821" s="541">
        <f>HLOOKUP("start",ESLData!F$1:F$9983,MATCH($A821,ESLData!$B$1:$B$9983,0))</f>
        <v>2800</v>
      </c>
      <c r="F821" s="542">
        <f>+E820+E821</f>
        <v>2950</v>
      </c>
      <c r="G821" s="541">
        <f>HLOOKUP("start",ESLData!H$1:H$9983,MATCH($A821,ESLData!$B$1:$B$9983,0))</f>
        <v>2605.11</v>
      </c>
      <c r="H821" s="542">
        <f>SUM(G820:G821)</f>
        <v>2624.6200000000003</v>
      </c>
    </row>
    <row r="822" spans="1:8" x14ac:dyDescent="0.2">
      <c r="A822" s="538" t="s">
        <v>902</v>
      </c>
      <c r="C822" s="541"/>
      <c r="E822" s="541"/>
      <c r="G822" s="541"/>
    </row>
    <row r="823" spans="1:8" x14ac:dyDescent="0.2">
      <c r="A823" s="540">
        <v>38307</v>
      </c>
      <c r="C823" s="541">
        <f>HLOOKUP("start",ESLData!E$1:E$9983,MATCH($A823,ESLData!$B$1:$B$9983,0))</f>
        <v>0</v>
      </c>
      <c r="E823" s="541">
        <f>HLOOKUP("start",ESLData!F$1:F$9983,MATCH($A823,ESLData!$B$1:$B$9983,0))</f>
        <v>0</v>
      </c>
      <c r="G823" s="541">
        <f>HLOOKUP("start",ESLData!H$1:H$9983,MATCH($A823,ESLData!$B$1:$B$9983,0))</f>
        <v>0</v>
      </c>
    </row>
    <row r="824" spans="1:8" x14ac:dyDescent="0.2">
      <c r="A824" s="540">
        <v>38310</v>
      </c>
      <c r="C824" s="541">
        <f>HLOOKUP("start",ESLData!E$1:E$9983,MATCH($A824,ESLData!$B$1:$B$9983,0))</f>
        <v>80.7</v>
      </c>
      <c r="E824" s="541">
        <f>HLOOKUP("start",ESLData!F$1:F$9983,MATCH($A824,ESLData!$B$1:$B$9983,0))</f>
        <v>500</v>
      </c>
      <c r="G824" s="541">
        <f>HLOOKUP("start",ESLData!H$1:H$9983,MATCH($A824,ESLData!$B$1:$B$9983,0))</f>
        <v>229.1</v>
      </c>
    </row>
    <row r="825" spans="1:8" x14ac:dyDescent="0.2">
      <c r="A825" s="540">
        <v>38340</v>
      </c>
      <c r="C825" s="541">
        <f>HLOOKUP("start",ESLData!E$1:E$9983,MATCH($A825,ESLData!$B$1:$B$9983,0))</f>
        <v>0</v>
      </c>
      <c r="E825" s="541">
        <f>HLOOKUP("start",ESLData!F$1:F$9983,MATCH($A825,ESLData!$B$1:$B$9983,0))</f>
        <v>0</v>
      </c>
      <c r="G825" s="541">
        <f>HLOOKUP("start",ESLData!H$1:H$9983,MATCH($A825,ESLData!$B$1:$B$9983,0))</f>
        <v>0</v>
      </c>
    </row>
    <row r="826" spans="1:8" x14ac:dyDescent="0.2">
      <c r="A826" s="540">
        <v>38095</v>
      </c>
      <c r="C826" s="541">
        <f>HLOOKUP("start",ESLData!E$1:E$9983,MATCH($A826,ESLData!$B$1:$B$9983,0))</f>
        <v>225.32</v>
      </c>
      <c r="E826" s="541">
        <f>HLOOKUP("start",ESLData!F$1:F$9983,MATCH($A826,ESLData!$B$1:$B$9983,0))</f>
        <v>3500</v>
      </c>
      <c r="G826" s="541">
        <f>HLOOKUP("start",ESLData!H$1:H$9983,MATCH($A826,ESLData!$B$1:$B$9983,0))</f>
        <v>0</v>
      </c>
    </row>
    <row r="827" spans="1:8" x14ac:dyDescent="0.2">
      <c r="A827" s="540">
        <v>38370</v>
      </c>
      <c r="C827" s="541">
        <f>HLOOKUP("start",ESLData!E$1:E$9983,MATCH($A827,ESLData!$B$1:$B$9983,0))</f>
        <v>48.35</v>
      </c>
      <c r="E827" s="541">
        <f>HLOOKUP("start",ESLData!F$1:F$9983,MATCH($A827,ESLData!$B$1:$B$9983,0))</f>
        <v>0</v>
      </c>
      <c r="G827" s="541">
        <f>HLOOKUP("start",ESLData!H$1:H$9983,MATCH($A827,ESLData!$B$1:$B$9983,0))</f>
        <v>0</v>
      </c>
    </row>
    <row r="828" spans="1:8" x14ac:dyDescent="0.2">
      <c r="A828" s="540">
        <v>38390</v>
      </c>
      <c r="C828" s="541">
        <f>HLOOKUP("start",ESLData!E$1:E$9983,MATCH($A828,ESLData!$B$1:$B$9983,0))</f>
        <v>270.04000000000002</v>
      </c>
      <c r="D828" s="542">
        <f>SUM(C823:C828)</f>
        <v>624.41000000000008</v>
      </c>
      <c r="E828" s="541">
        <f>HLOOKUP("start",ESLData!F$1:F$9983,MATCH($A828,ESLData!$B$1:$B$9983,0))</f>
        <v>750</v>
      </c>
      <c r="F828" s="542">
        <f>SUM(E823:E828)</f>
        <v>4750</v>
      </c>
      <c r="G828" s="541">
        <f>HLOOKUP("start",ESLData!H$1:H$9983,MATCH($A828,ESLData!$B$1:$B$9983,0))</f>
        <v>934.44</v>
      </c>
      <c r="H828" s="542">
        <f>SUM(G823:G828)</f>
        <v>1163.54</v>
      </c>
    </row>
    <row r="829" spans="1:8" x14ac:dyDescent="0.2">
      <c r="A829" s="538" t="s">
        <v>828</v>
      </c>
      <c r="C829" s="541"/>
      <c r="E829" s="541"/>
      <c r="G829" s="541"/>
    </row>
    <row r="830" spans="1:8" x14ac:dyDescent="0.2">
      <c r="A830" s="540">
        <v>38300</v>
      </c>
      <c r="C830" s="541">
        <f>HLOOKUP("start",ESLData!E$1:E$9983,MATCH($A830,ESLData!$B$1:$B$9983,0))</f>
        <v>2143.9899999999998</v>
      </c>
      <c r="E830" s="541">
        <f>HLOOKUP("start",ESLData!F$1:F$9983,MATCH($A830,ESLData!$B$1:$B$9983,0))</f>
        <v>2000</v>
      </c>
      <c r="G830" s="541">
        <f>HLOOKUP("start",ESLData!H$1:H$9983,MATCH($A830,ESLData!$B$1:$B$9983,0))</f>
        <v>3114.6</v>
      </c>
    </row>
    <row r="831" spans="1:8" x14ac:dyDescent="0.2">
      <c r="A831" s="538" t="s">
        <v>919</v>
      </c>
      <c r="C831" s="541"/>
      <c r="E831" s="541"/>
      <c r="G831" s="541"/>
    </row>
    <row r="832" spans="1:8" x14ac:dyDescent="0.2">
      <c r="A832" s="540">
        <v>38020</v>
      </c>
      <c r="C832" s="541">
        <f>HLOOKUP("start",ESLData!E$1:E$9983,MATCH($A832,ESLData!$B$1:$B$9983,0))</f>
        <v>4973.29</v>
      </c>
      <c r="E832" s="541">
        <f>HLOOKUP("start",ESLData!F$1:F$9983,MATCH($A832,ESLData!$B$1:$B$9983,0))</f>
        <v>8000</v>
      </c>
      <c r="G832" s="541">
        <f>HLOOKUP("start",ESLData!H$1:H$9983,MATCH($A832,ESLData!$B$1:$B$9983,0))</f>
        <v>5235.37</v>
      </c>
    </row>
    <row r="833" spans="1:8" x14ac:dyDescent="0.2">
      <c r="A833" s="540">
        <v>38030</v>
      </c>
      <c r="C833" s="541">
        <f>HLOOKUP("start",ESLData!E$1:E$9983,MATCH($A833,ESLData!$B$1:$B$9983,0))</f>
        <v>422.17</v>
      </c>
      <c r="D833" s="542">
        <f>+C832+C833</f>
        <v>5395.46</v>
      </c>
      <c r="E833" s="541">
        <f>HLOOKUP("start",ESLData!F$1:F$9983,MATCH($A833,ESLData!$B$1:$B$9983,0))</f>
        <v>2000</v>
      </c>
      <c r="F833" s="542">
        <f>+E832+E833</f>
        <v>10000</v>
      </c>
      <c r="G833" s="541">
        <f>HLOOKUP("start",ESLData!H$1:H$9983,MATCH($A833,ESLData!$B$1:$B$9983,0))</f>
        <v>83.49</v>
      </c>
      <c r="H833" s="542">
        <f>SUM(G832:G833)</f>
        <v>5318.86</v>
      </c>
    </row>
    <row r="834" spans="1:8" x14ac:dyDescent="0.2">
      <c r="A834" s="538" t="s">
        <v>903</v>
      </c>
      <c r="C834" s="541"/>
      <c r="E834" s="541"/>
      <c r="G834" s="541"/>
    </row>
    <row r="835" spans="1:8" x14ac:dyDescent="0.2">
      <c r="A835" s="540">
        <v>38600</v>
      </c>
      <c r="C835" s="541">
        <f>HLOOKUP("start",ESLData!E$1:E$9983,MATCH($A835,ESLData!$B$1:$B$9983,0))</f>
        <v>10636</v>
      </c>
      <c r="E835" s="541">
        <f>HLOOKUP("start",ESLData!F$1:F$9983,MATCH($A835,ESLData!$B$1:$B$9983,0))</f>
        <v>10636</v>
      </c>
      <c r="G835" s="541">
        <f>HLOOKUP("start",ESLData!H$1:H$9983,MATCH($A835,ESLData!$B$1:$B$9983,0))</f>
        <v>10970</v>
      </c>
    </row>
    <row r="836" spans="1:8" x14ac:dyDescent="0.2">
      <c r="A836" s="540">
        <v>38610</v>
      </c>
      <c r="C836" s="541">
        <f>HLOOKUP("start",ESLData!E$1:E$9983,MATCH($A836,ESLData!$B$1:$B$9983,0))</f>
        <v>1191.76</v>
      </c>
      <c r="E836" s="541">
        <f>HLOOKUP("start",ESLData!F$1:F$9983,MATCH($A836,ESLData!$B$1:$B$9983,0))</f>
        <v>1500</v>
      </c>
      <c r="G836" s="541">
        <f>HLOOKUP("start",ESLData!H$1:H$9983,MATCH($A836,ESLData!$B$1:$B$9983,0))</f>
        <v>1316.98</v>
      </c>
    </row>
    <row r="837" spans="1:8" x14ac:dyDescent="0.2">
      <c r="A837" s="540">
        <v>38620</v>
      </c>
      <c r="C837" s="541">
        <f>HLOOKUP("start",ESLData!E$1:E$9983,MATCH($A837,ESLData!$B$1:$B$9983,0))</f>
        <v>499.64</v>
      </c>
      <c r="E837" s="541">
        <f>HLOOKUP("start",ESLData!F$1:F$9983,MATCH($A837,ESLData!$B$1:$B$9983,0))</f>
        <v>1000</v>
      </c>
      <c r="G837" s="541">
        <f>HLOOKUP("start",ESLData!H$1:H$9983,MATCH($A837,ESLData!$B$1:$B$9983,0))</f>
        <v>590.62</v>
      </c>
    </row>
    <row r="838" spans="1:8" x14ac:dyDescent="0.2">
      <c r="A838" s="540">
        <v>38630</v>
      </c>
      <c r="C838" s="541">
        <f>HLOOKUP("start",ESLData!E$1:E$9983,MATCH($A838,ESLData!$B$1:$B$9983,0))</f>
        <v>122.48</v>
      </c>
      <c r="E838" s="541">
        <f>HLOOKUP("start",ESLData!F$1:F$9983,MATCH($A838,ESLData!$B$1:$B$9983,0))</f>
        <v>500</v>
      </c>
      <c r="G838" s="541">
        <f>HLOOKUP("start",ESLData!H$1:H$9983,MATCH($A838,ESLData!$B$1:$B$9983,0))</f>
        <v>313.02</v>
      </c>
    </row>
    <row r="839" spans="1:8" x14ac:dyDescent="0.2">
      <c r="A839" s="540">
        <v>38640</v>
      </c>
      <c r="C839" s="541">
        <f>HLOOKUP("start",ESLData!E$1:E$9983,MATCH($A839,ESLData!$B$1:$B$9983,0))</f>
        <v>572.20000000000005</v>
      </c>
      <c r="D839" s="542">
        <f>SUM(C835:C839)</f>
        <v>13022.08</v>
      </c>
      <c r="E839" s="541">
        <f>HLOOKUP("start",ESLData!F$1:F$9983,MATCH($A839,ESLData!$B$1:$B$9983,0))</f>
        <v>1000</v>
      </c>
      <c r="F839" s="542">
        <f>SUM(E835:E839)</f>
        <v>14636</v>
      </c>
      <c r="G839" s="541">
        <f>HLOOKUP("start",ESLData!H$1:H$9983,MATCH($A839,ESLData!$B$1:$B$9983,0))</f>
        <v>288.48</v>
      </c>
      <c r="H839" s="542">
        <f>SUM(G835:G839)</f>
        <v>13479.1</v>
      </c>
    </row>
    <row r="840" spans="1:8" x14ac:dyDescent="0.2">
      <c r="A840" s="538" t="s">
        <v>845</v>
      </c>
      <c r="C840" s="541"/>
      <c r="E840" s="541"/>
      <c r="G840" s="541"/>
    </row>
    <row r="841" spans="1:8" x14ac:dyDescent="0.2">
      <c r="A841" s="540">
        <v>38220</v>
      </c>
      <c r="C841" s="541">
        <f>HLOOKUP("start",ESLData!E$1:E$9983,MATCH($A841,ESLData!$B$1:$B$9983,0))</f>
        <v>505118.9</v>
      </c>
      <c r="E841" s="541">
        <f>HLOOKUP("start",ESLData!F$1:F$9983,MATCH($A841,ESLData!$B$1:$B$9983,0))</f>
        <v>702326</v>
      </c>
      <c r="G841" s="541">
        <f>HLOOKUP("start",ESLData!H$1:H$9983,MATCH($A841,ESLData!$B$1:$B$9983,0))</f>
        <v>758591.94</v>
      </c>
    </row>
    <row r="842" spans="1:8" x14ac:dyDescent="0.2">
      <c r="A842" s="540">
        <v>38221</v>
      </c>
      <c r="C842" s="541">
        <f>HLOOKUP("start",ESLData!E$1:E$9983,MATCH($A842,ESLData!$B$1:$B$9983,0))</f>
        <v>26361.17</v>
      </c>
      <c r="E842" s="541">
        <f>HLOOKUP("start",ESLData!F$1:F$9983,MATCH($A842,ESLData!$B$1:$B$9983,0))</f>
        <v>26606</v>
      </c>
      <c r="G842" s="541">
        <f>HLOOKUP("start",ESLData!H$1:H$9983,MATCH($A842,ESLData!$B$1:$B$9983,0))</f>
        <v>25068.43</v>
      </c>
    </row>
    <row r="843" spans="1:8" x14ac:dyDescent="0.2">
      <c r="A843" s="540">
        <v>38222</v>
      </c>
      <c r="C843" s="541">
        <f>HLOOKUP("start",ESLData!E$1:E$9983,MATCH($A843,ESLData!$B$1:$B$9983,0))</f>
        <v>2538.5500000000002</v>
      </c>
      <c r="E843" s="541">
        <f>HLOOKUP("start",ESLData!F$1:F$9983,MATCH($A843,ESLData!$B$1:$B$9983,0))</f>
        <v>37965</v>
      </c>
      <c r="G843" s="541">
        <f>HLOOKUP("start",ESLData!H$1:H$9983,MATCH($A843,ESLData!$B$1:$B$9983,0))</f>
        <v>10721.15</v>
      </c>
    </row>
    <row r="844" spans="1:8" x14ac:dyDescent="0.2">
      <c r="A844" s="540">
        <v>38250</v>
      </c>
      <c r="C844" s="541">
        <f>HLOOKUP("start",ESLData!E$1:E$9983,MATCH($A844,ESLData!$B$1:$B$9983,0))</f>
        <v>1478.26</v>
      </c>
      <c r="E844" s="541">
        <f>HLOOKUP("start",ESLData!F$1:F$9983,MATCH($A844,ESLData!$B$1:$B$9983,0))</f>
        <v>3442</v>
      </c>
      <c r="G844" s="541">
        <f>HLOOKUP("start",ESLData!H$1:H$9983,MATCH($A844,ESLData!$B$1:$B$9983,0))</f>
        <v>264.33</v>
      </c>
    </row>
    <row r="845" spans="1:8" x14ac:dyDescent="0.2">
      <c r="A845" s="540">
        <v>38260</v>
      </c>
      <c r="C845" s="541">
        <f>HLOOKUP("start",ESLData!E$1:E$9983,MATCH($A845,ESLData!$B$1:$B$9983,0))</f>
        <v>2513.9499999999998</v>
      </c>
      <c r="E845" s="541">
        <f>HLOOKUP("start",ESLData!F$1:F$9983,MATCH($A845,ESLData!$B$1:$B$9983,0))</f>
        <v>1000</v>
      </c>
      <c r="G845" s="541">
        <f>HLOOKUP("start",ESLData!H$1:H$9983,MATCH($A845,ESLData!$B$1:$B$9983,0))</f>
        <v>1304.96</v>
      </c>
    </row>
    <row r="846" spans="1:8" x14ac:dyDescent="0.2">
      <c r="A846" s="540">
        <v>38280</v>
      </c>
      <c r="C846" s="541">
        <f>HLOOKUP("start",ESLData!E$1:E$9983,MATCH($A846,ESLData!$B$1:$B$9983,0))</f>
        <v>0</v>
      </c>
      <c r="D846" s="542">
        <f>SUM(C841:C846)</f>
        <v>538010.83000000007</v>
      </c>
      <c r="E846" s="541">
        <f>HLOOKUP("start",ESLData!F$1:F$9983,MATCH($A846,ESLData!$B$1:$B$9983,0))</f>
        <v>300</v>
      </c>
      <c r="F846" s="542">
        <f>SUM(E841:E846)</f>
        <v>771639</v>
      </c>
      <c r="G846" s="541">
        <f>HLOOKUP("start",ESLData!H$1:H$9983,MATCH($A846,ESLData!$B$1:$B$9983,0))</f>
        <v>121.09</v>
      </c>
      <c r="H846" s="542">
        <f>SUM(G841:G846)</f>
        <v>796071.89999999991</v>
      </c>
    </row>
    <row r="847" spans="1:8" x14ac:dyDescent="0.2">
      <c r="A847" s="538" t="s">
        <v>908</v>
      </c>
      <c r="C847" s="541"/>
      <c r="E847" s="541"/>
      <c r="G847" s="541"/>
    </row>
    <row r="848" spans="1:8" x14ac:dyDescent="0.2">
      <c r="A848" s="540">
        <v>38270</v>
      </c>
      <c r="C848" s="541">
        <f>HLOOKUP("start",ESLData!E$1:E$9983,MATCH($A848,ESLData!$B$1:$B$9983,0))</f>
        <v>3244.22</v>
      </c>
      <c r="E848" s="541">
        <f>HLOOKUP("start",ESLData!F$1:F$9983,MATCH($A848,ESLData!$B$1:$B$9983,0))</f>
        <v>4500</v>
      </c>
      <c r="G848" s="541">
        <f>HLOOKUP("start",ESLData!H$1:H$9983,MATCH($A848,ESLData!$B$1:$B$9983,0))</f>
        <v>5293.26</v>
      </c>
    </row>
    <row r="849" spans="1:8" x14ac:dyDescent="0.2">
      <c r="A849" s="548" t="s">
        <v>920</v>
      </c>
      <c r="C849" s="541"/>
      <c r="E849" s="541"/>
      <c r="G849" s="541"/>
    </row>
    <row r="850" spans="1:8" x14ac:dyDescent="0.2">
      <c r="A850" s="540">
        <v>38010</v>
      </c>
      <c r="C850" s="541">
        <f>HLOOKUP("start",ESLData!E$1:E$9983,MATCH($A850,ESLData!$B$1:$B$9983,0))</f>
        <v>1093.05</v>
      </c>
      <c r="E850" s="541">
        <f>HLOOKUP("start",ESLData!F$1:F$9983,MATCH($A850,ESLData!$B$1:$B$9983,0))</f>
        <v>2000</v>
      </c>
      <c r="G850" s="541">
        <f>HLOOKUP("start",ESLData!H$1:H$9983,MATCH($A850,ESLData!$B$1:$B$9983,0))</f>
        <v>-434.78</v>
      </c>
    </row>
    <row r="851" spans="1:8" x14ac:dyDescent="0.2">
      <c r="A851" s="540">
        <v>38040</v>
      </c>
      <c r="C851" s="541">
        <f>HLOOKUP("start",ESLData!E$1:E$9983,MATCH($A851,ESLData!$B$1:$B$9983,0))</f>
        <v>281.74</v>
      </c>
      <c r="E851" s="541">
        <f>HLOOKUP("start",ESLData!F$1:F$9983,MATCH($A851,ESLData!$B$1:$B$9983,0))</f>
        <v>0</v>
      </c>
      <c r="G851" s="541">
        <f>HLOOKUP("start",ESLData!H$1:H$9983,MATCH($A851,ESLData!$B$1:$B$9983,0))</f>
        <v>280.04000000000002</v>
      </c>
    </row>
    <row r="852" spans="1:8" x14ac:dyDescent="0.2">
      <c r="A852" s="540">
        <v>38050</v>
      </c>
      <c r="C852" s="541">
        <f>HLOOKUP("start",ESLData!E$1:E$9983,MATCH($A852,ESLData!$B$1:$B$9983,0))</f>
        <v>1640.65</v>
      </c>
      <c r="E852" s="541">
        <f>HLOOKUP("start",ESLData!F$1:F$9983,MATCH($A852,ESLData!$B$1:$B$9983,0))</f>
        <v>750</v>
      </c>
      <c r="G852" s="541">
        <f>HLOOKUP("start",ESLData!H$1:H$9983,MATCH($A852,ESLData!$B$1:$B$9983,0))</f>
        <v>0</v>
      </c>
    </row>
    <row r="853" spans="1:8" x14ac:dyDescent="0.2">
      <c r="A853" s="540">
        <v>38070</v>
      </c>
      <c r="C853" s="541">
        <f>HLOOKUP("start",ESLData!E$1:E$9983,MATCH($A853,ESLData!$B$1:$B$9983,0))</f>
        <v>0</v>
      </c>
      <c r="E853" s="541">
        <f>HLOOKUP("start",ESLData!F$1:F$9983,MATCH($A853,ESLData!$B$1:$B$9983,0))</f>
        <v>0</v>
      </c>
      <c r="G853" s="541">
        <f>HLOOKUP("start",ESLData!H$1:H$9983,MATCH($A853,ESLData!$B$1:$B$9983,0))</f>
        <v>0</v>
      </c>
    </row>
    <row r="854" spans="1:8" x14ac:dyDescent="0.2">
      <c r="A854" s="540">
        <v>38080</v>
      </c>
      <c r="C854" s="541">
        <f>HLOOKUP("start",ESLData!E$1:E$9983,MATCH($A854,ESLData!$B$1:$B$9983,0))</f>
        <v>4770</v>
      </c>
      <c r="E854" s="541">
        <f>HLOOKUP("start",ESLData!F$1:F$9983,MATCH($A854,ESLData!$B$1:$B$9983,0))</f>
        <v>4000</v>
      </c>
      <c r="G854" s="541">
        <f>HLOOKUP("start",ESLData!H$1:H$9983,MATCH($A854,ESLData!$B$1:$B$9983,0))</f>
        <v>1200</v>
      </c>
    </row>
    <row r="855" spans="1:8" x14ac:dyDescent="0.2">
      <c r="A855" s="540">
        <v>38090</v>
      </c>
      <c r="C855" s="541">
        <f>HLOOKUP("start",ESLData!E$1:E$9983,MATCH($A855,ESLData!$B$1:$B$9983,0))</f>
        <v>0</v>
      </c>
      <c r="E855" s="541">
        <f>HLOOKUP("start",ESLData!F$1:F$9983,MATCH($A855,ESLData!$B$1:$B$9983,0))</f>
        <v>0</v>
      </c>
      <c r="G855" s="541">
        <f>HLOOKUP("start",ESLData!H$1:H$9983,MATCH($A855,ESLData!$B$1:$B$9983,0))</f>
        <v>58693.440000000002</v>
      </c>
    </row>
    <row r="856" spans="1:8" x14ac:dyDescent="0.2">
      <c r="A856" s="540">
        <v>38820</v>
      </c>
      <c r="C856" s="541">
        <f>HLOOKUP("start",ESLData!E$1:E$9983,MATCH($A856,ESLData!$B$1:$B$9983,0))</f>
        <v>0</v>
      </c>
      <c r="D856" s="542">
        <f>SUM(C850:C856)</f>
        <v>7785.4400000000005</v>
      </c>
      <c r="E856" s="541">
        <f>HLOOKUP("start",ESLData!F$1:F$9983,MATCH($A856,ESLData!$B$1:$B$9983,0))</f>
        <v>0</v>
      </c>
      <c r="F856" s="542">
        <f>SUM(E850:E856)</f>
        <v>6750</v>
      </c>
      <c r="G856" s="541">
        <f>HLOOKUP("start",ESLData!H$1:H$9983,MATCH($A856,ESLData!$B$1:$B$9983,0))</f>
        <v>0</v>
      </c>
      <c r="H856" s="542">
        <f>SUM(G850:G856)</f>
        <v>59738.700000000004</v>
      </c>
    </row>
    <row r="857" spans="1:8" x14ac:dyDescent="0.2">
      <c r="A857" s="538" t="s">
        <v>915</v>
      </c>
      <c r="C857" s="541"/>
      <c r="E857" s="541"/>
      <c r="G857" s="541"/>
    </row>
    <row r="858" spans="1:8" x14ac:dyDescent="0.2">
      <c r="A858" s="540">
        <v>38400</v>
      </c>
      <c r="C858" s="541">
        <f>HLOOKUP("start",ESLData!E$1:E$9983,MATCH($A858,ESLData!$B$1:$B$9983,0))</f>
        <v>19635.91</v>
      </c>
      <c r="E858" s="541">
        <f>HLOOKUP("start",ESLData!F$1:F$9983,MATCH($A858,ESLData!$B$1:$B$9983,0))</f>
        <v>20000</v>
      </c>
      <c r="G858" s="541">
        <f>HLOOKUP("start",ESLData!H$1:H$9983,MATCH($A858,ESLData!$B$1:$B$9983,0))</f>
        <v>15307.09</v>
      </c>
    </row>
    <row r="859" spans="1:8" x14ac:dyDescent="0.2">
      <c r="A859" s="540">
        <v>38410</v>
      </c>
      <c r="C859" s="541">
        <f>HLOOKUP("start",ESLData!E$1:E$9983,MATCH($A859,ESLData!$B$1:$B$9983,0))</f>
        <v>387.83</v>
      </c>
      <c r="E859" s="541">
        <f>HLOOKUP("start",ESLData!F$1:F$9983,MATCH($A859,ESLData!$B$1:$B$9983,0))</f>
        <v>750</v>
      </c>
      <c r="G859" s="541">
        <f>HLOOKUP("start",ESLData!H$1:H$9983,MATCH($A859,ESLData!$B$1:$B$9983,0))</f>
        <v>557.73</v>
      </c>
    </row>
    <row r="860" spans="1:8" x14ac:dyDescent="0.2">
      <c r="A860" s="540">
        <v>38420</v>
      </c>
      <c r="C860" s="541">
        <f>HLOOKUP("start",ESLData!E$1:E$9983,MATCH($A860,ESLData!$B$1:$B$9983,0))</f>
        <v>937.21</v>
      </c>
      <c r="E860" s="541">
        <f>HLOOKUP("start",ESLData!F$1:F$9983,MATCH($A860,ESLData!$B$1:$B$9983,0))</f>
        <v>2500</v>
      </c>
      <c r="G860" s="541">
        <f>HLOOKUP("start",ESLData!H$1:H$9983,MATCH($A860,ESLData!$B$1:$B$9983,0))</f>
        <v>2224.7600000000002</v>
      </c>
    </row>
    <row r="861" spans="1:8" x14ac:dyDescent="0.2">
      <c r="A861" s="540">
        <v>38922</v>
      </c>
      <c r="C861" s="541">
        <f>HLOOKUP("start",ESLData!E$1:E$9983,MATCH($A861,ESLData!$B$1:$B$9983,0))</f>
        <v>1396.8</v>
      </c>
      <c r="E861" s="541">
        <f>HLOOKUP("start",ESLData!F$1:F$9983,MATCH($A861,ESLData!$B$1:$B$9983,0))</f>
        <v>0</v>
      </c>
      <c r="G861" s="541">
        <f>HLOOKUP("start",ESLData!H$1:H$9983,MATCH($A861,ESLData!$B$1:$B$9983,0))</f>
        <v>915.92</v>
      </c>
    </row>
    <row r="862" spans="1:8" x14ac:dyDescent="0.2">
      <c r="A862" s="540">
        <v>38500</v>
      </c>
      <c r="C862" s="541">
        <f>HLOOKUP("start",ESLData!E$1:E$9983,MATCH($A862,ESLData!$B$1:$B$9983,0))</f>
        <v>48368.58</v>
      </c>
      <c r="E862" s="541">
        <f>HLOOKUP("start",ESLData!F$1:F$9983,MATCH($A862,ESLData!$B$1:$B$9983,0))</f>
        <v>59336</v>
      </c>
      <c r="G862" s="541">
        <f>HLOOKUP("start",ESLData!H$1:H$9983,MATCH($A862,ESLData!$B$1:$B$9983,0))</f>
        <v>49645.98</v>
      </c>
    </row>
    <row r="863" spans="1:8" x14ac:dyDescent="0.2">
      <c r="A863" s="540">
        <v>38520</v>
      </c>
      <c r="C863" s="541">
        <f>HLOOKUP("start",ESLData!E$1:E$9983,MATCH($A863,ESLData!$B$1:$B$9983,0))</f>
        <v>0</v>
      </c>
      <c r="D863" s="542">
        <f>SUM(C858:C863)</f>
        <v>70726.33</v>
      </c>
      <c r="E863" s="541">
        <f>HLOOKUP("start",ESLData!F$1:F$9983,MATCH($A863,ESLData!$B$1:$B$9983,0))</f>
        <v>0</v>
      </c>
      <c r="F863" s="542">
        <f>SUM(E858:E863)</f>
        <v>82586</v>
      </c>
      <c r="G863" s="541">
        <f>HLOOKUP("start",ESLData!H$1:H$9983,MATCH($A863,ESLData!$B$1:$B$9983,0))</f>
        <v>0</v>
      </c>
      <c r="H863" s="542">
        <f>SUM(G858:G863)</f>
        <v>68651.48000000001</v>
      </c>
    </row>
    <row r="864" spans="1:8" x14ac:dyDescent="0.2">
      <c r="A864" s="538" t="s">
        <v>884</v>
      </c>
      <c r="C864" s="541"/>
      <c r="E864" s="541"/>
      <c r="G864" s="541"/>
    </row>
    <row r="865" spans="1:7" x14ac:dyDescent="0.2">
      <c r="A865" s="540">
        <v>38992</v>
      </c>
      <c r="C865" s="541">
        <f>HLOOKUP("start",ESLData!E$1:E$9983,MATCH($A865,ESLData!$B$1:$B$9983,0))</f>
        <v>9747.1</v>
      </c>
      <c r="E865" s="541">
        <f>HLOOKUP("start",ESLData!F$1:F$9983,MATCH($A865,ESLData!$B$1:$B$9983,0))</f>
        <v>20000</v>
      </c>
      <c r="G865" s="541">
        <f>HLOOKUP("start",ESLData!H$1:H$9983,MATCH($A865,ESLData!$B$1:$B$9983,0))</f>
        <v>7747.74</v>
      </c>
    </row>
    <row r="866" spans="1:7" x14ac:dyDescent="0.2">
      <c r="A866" s="540">
        <v>38928</v>
      </c>
      <c r="C866" s="541">
        <f>HLOOKUP("start",ESLData!E$1:E$9983,MATCH($A866,ESLData!$B$1:$B$9983,0))</f>
        <v>0</v>
      </c>
      <c r="E866" s="541">
        <f>HLOOKUP("start",ESLData!F$1:F$9983,MATCH($A866,ESLData!$B$1:$B$9983,0))</f>
        <v>4000</v>
      </c>
      <c r="G866" s="541">
        <f>HLOOKUP("start",ESLData!H$1:H$9983,MATCH($A866,ESLData!$B$1:$B$9983,0))</f>
        <v>0</v>
      </c>
    </row>
    <row r="867" spans="1:7" x14ac:dyDescent="0.2">
      <c r="A867" s="540">
        <v>38929</v>
      </c>
      <c r="C867" s="541">
        <f>HLOOKUP("start",ESLData!E$1:E$9983,MATCH($A867,ESLData!$B$1:$B$9983,0))</f>
        <v>8397.67</v>
      </c>
      <c r="E867" s="541">
        <f>HLOOKUP("start",ESLData!F$1:F$9983,MATCH($A867,ESLData!$B$1:$B$9983,0))</f>
        <v>53837</v>
      </c>
      <c r="G867" s="541">
        <f>HLOOKUP("start",ESLData!H$1:H$9983,MATCH($A867,ESLData!$B$1:$B$9983,0))</f>
        <v>11448.44</v>
      </c>
    </row>
    <row r="868" spans="1:7" x14ac:dyDescent="0.2">
      <c r="A868" s="540">
        <v>38930</v>
      </c>
      <c r="C868" s="541">
        <f>HLOOKUP("start",ESLData!E$1:E$9983,MATCH($A868,ESLData!$B$1:$B$9983,0))</f>
        <v>167917.95</v>
      </c>
      <c r="E868" s="541">
        <f>HLOOKUP("start",ESLData!F$1:F$9983,MATCH($A868,ESLData!$B$1:$B$9983,0))</f>
        <v>234468</v>
      </c>
      <c r="G868" s="541">
        <f>HLOOKUP("start",ESLData!H$1:H$9983,MATCH($A868,ESLData!$B$1:$B$9983,0))</f>
        <v>151413.03</v>
      </c>
    </row>
    <row r="869" spans="1:7" x14ac:dyDescent="0.2">
      <c r="A869" s="540">
        <v>38931</v>
      </c>
      <c r="C869" s="541">
        <f>HLOOKUP("start",ESLData!E$1:E$9983,MATCH($A869,ESLData!$B$1:$B$9983,0))</f>
        <v>1113.04</v>
      </c>
      <c r="E869" s="541">
        <f>HLOOKUP("start",ESLData!F$1:F$9983,MATCH($A869,ESLData!$B$1:$B$9983,0))</f>
        <v>1280</v>
      </c>
      <c r="G869" s="541">
        <f>HLOOKUP("start",ESLData!H$1:H$9983,MATCH($A869,ESLData!$B$1:$B$9983,0))</f>
        <v>1815.65</v>
      </c>
    </row>
    <row r="870" spans="1:7" x14ac:dyDescent="0.2">
      <c r="A870" s="540">
        <v>38932</v>
      </c>
      <c r="C870" s="541">
        <f>HLOOKUP("start",ESLData!E$1:E$9983,MATCH($A870,ESLData!$B$1:$B$9983,0))</f>
        <v>1265.3499999999999</v>
      </c>
      <c r="E870" s="541">
        <f>HLOOKUP("start",ESLData!F$1:F$9983,MATCH($A870,ESLData!$B$1:$B$9983,0))</f>
        <v>3000</v>
      </c>
      <c r="G870" s="541">
        <f>HLOOKUP("start",ESLData!H$1:H$9983,MATCH($A870,ESLData!$B$1:$B$9983,0))</f>
        <v>1366.79</v>
      </c>
    </row>
    <row r="871" spans="1:7" x14ac:dyDescent="0.2">
      <c r="A871" s="540">
        <v>38933</v>
      </c>
      <c r="C871" s="541">
        <f>HLOOKUP("start",ESLData!E$1:E$9983,MATCH($A871,ESLData!$B$1:$B$9983,0))</f>
        <v>12421.77</v>
      </c>
      <c r="E871" s="541">
        <f>HLOOKUP("start",ESLData!F$1:F$9983,MATCH($A871,ESLData!$B$1:$B$9983,0))</f>
        <v>12000</v>
      </c>
      <c r="G871" s="541">
        <f>HLOOKUP("start",ESLData!H$1:H$9983,MATCH($A871,ESLData!$B$1:$B$9983,0))</f>
        <v>8945.4</v>
      </c>
    </row>
    <row r="872" spans="1:7" x14ac:dyDescent="0.2">
      <c r="A872" s="540">
        <v>38934</v>
      </c>
      <c r="C872" s="541">
        <f>HLOOKUP("start",ESLData!E$1:E$9983,MATCH($A872,ESLData!$B$1:$B$9983,0))</f>
        <v>86.1</v>
      </c>
      <c r="E872" s="541">
        <f>HLOOKUP("start",ESLData!F$1:F$9983,MATCH($A872,ESLData!$B$1:$B$9983,0))</f>
        <v>1500</v>
      </c>
      <c r="G872" s="541">
        <f>HLOOKUP("start",ESLData!H$1:H$9983,MATCH($A872,ESLData!$B$1:$B$9983,0))</f>
        <v>1348.75</v>
      </c>
    </row>
    <row r="873" spans="1:7" x14ac:dyDescent="0.2">
      <c r="A873" s="540">
        <v>38935</v>
      </c>
      <c r="C873" s="541">
        <f>HLOOKUP("start",ESLData!E$1:E$9983,MATCH($A873,ESLData!$B$1:$B$9983,0))</f>
        <v>2329.33</v>
      </c>
      <c r="E873" s="541">
        <f>HLOOKUP("start",ESLData!F$1:F$9983,MATCH($A873,ESLData!$B$1:$B$9983,0))</f>
        <v>2500</v>
      </c>
      <c r="G873" s="541">
        <f>HLOOKUP("start",ESLData!H$1:H$9983,MATCH($A873,ESLData!$B$1:$B$9983,0))</f>
        <v>2239.9699999999998</v>
      </c>
    </row>
    <row r="874" spans="1:7" x14ac:dyDescent="0.2">
      <c r="A874" s="540">
        <v>38936</v>
      </c>
      <c r="C874" s="541">
        <f>HLOOKUP("start",ESLData!E$1:E$9983,MATCH($A874,ESLData!$B$1:$B$9983,0))</f>
        <v>595.45000000000005</v>
      </c>
      <c r="E874" s="541">
        <f>HLOOKUP("start",ESLData!F$1:F$9983,MATCH($A874,ESLData!$B$1:$B$9983,0))</f>
        <v>1000</v>
      </c>
      <c r="G874" s="541">
        <f>HLOOKUP("start",ESLData!H$1:H$9983,MATCH($A874,ESLData!$B$1:$B$9983,0))</f>
        <v>224.84</v>
      </c>
    </row>
    <row r="875" spans="1:7" x14ac:dyDescent="0.2">
      <c r="A875" s="540">
        <v>38937</v>
      </c>
      <c r="C875" s="541">
        <f>HLOOKUP("start",ESLData!E$1:E$9983,MATCH($A875,ESLData!$B$1:$B$9983,0))</f>
        <v>938.61</v>
      </c>
      <c r="E875" s="541">
        <f>HLOOKUP("start",ESLData!F$1:F$9983,MATCH($A875,ESLData!$B$1:$B$9983,0))</f>
        <v>1000</v>
      </c>
      <c r="G875" s="541">
        <f>HLOOKUP("start",ESLData!H$1:H$9983,MATCH($A875,ESLData!$B$1:$B$9983,0))</f>
        <v>330.04</v>
      </c>
    </row>
    <row r="876" spans="1:7" x14ac:dyDescent="0.2">
      <c r="A876" s="540">
        <v>38938</v>
      </c>
      <c r="C876" s="541">
        <f>HLOOKUP("start",ESLData!E$1:E$9983,MATCH($A876,ESLData!$B$1:$B$9983,0))</f>
        <v>1130.5</v>
      </c>
      <c r="E876" s="541">
        <f>HLOOKUP("start",ESLData!F$1:F$9983,MATCH($A876,ESLData!$B$1:$B$9983,0))</f>
        <v>3000</v>
      </c>
      <c r="G876" s="541">
        <f>HLOOKUP("start",ESLData!H$1:H$9983,MATCH($A876,ESLData!$B$1:$B$9983,0))</f>
        <v>2911.68</v>
      </c>
    </row>
    <row r="877" spans="1:7" x14ac:dyDescent="0.2">
      <c r="A877" s="540">
        <v>38939</v>
      </c>
      <c r="C877" s="541">
        <f>HLOOKUP("start",ESLData!E$1:E$9983,MATCH($A877,ESLData!$B$1:$B$9983,0))</f>
        <v>5774.05</v>
      </c>
      <c r="E877" s="541">
        <f>HLOOKUP("start",ESLData!F$1:F$9983,MATCH($A877,ESLData!$B$1:$B$9983,0))</f>
        <v>4500</v>
      </c>
      <c r="G877" s="541">
        <f>HLOOKUP("start",ESLData!H$1:H$9983,MATCH($A877,ESLData!$B$1:$B$9983,0))</f>
        <v>3050.68</v>
      </c>
    </row>
    <row r="878" spans="1:7" x14ac:dyDescent="0.2">
      <c r="A878" s="540">
        <v>38940</v>
      </c>
      <c r="C878" s="541">
        <f>HLOOKUP("start",ESLData!E$1:E$9983,MATCH($A878,ESLData!$B$1:$B$9983,0))</f>
        <v>26516.78</v>
      </c>
      <c r="E878" s="541">
        <f>HLOOKUP("start",ESLData!F$1:F$9983,MATCH($A878,ESLData!$B$1:$B$9983,0))</f>
        <v>32431</v>
      </c>
      <c r="G878" s="541">
        <f>HLOOKUP("start",ESLData!H$1:H$9983,MATCH($A878,ESLData!$B$1:$B$9983,0))</f>
        <v>25550.34</v>
      </c>
    </row>
    <row r="879" spans="1:7" x14ac:dyDescent="0.2">
      <c r="A879" s="540">
        <v>38945</v>
      </c>
      <c r="C879" s="541">
        <f>HLOOKUP("start",ESLData!E$1:E$9983,MATCH($A879,ESLData!$B$1:$B$9983,0))</f>
        <v>149.57</v>
      </c>
      <c r="E879" s="541">
        <f>HLOOKUP("start",ESLData!F$1:F$9983,MATCH($A879,ESLData!$B$1:$B$9983,0))</f>
        <v>1000</v>
      </c>
      <c r="G879" s="541">
        <f>HLOOKUP("start",ESLData!H$1:H$9983,MATCH($A879,ESLData!$B$1:$B$9983,0))</f>
        <v>0</v>
      </c>
    </row>
    <row r="880" spans="1:7" x14ac:dyDescent="0.2">
      <c r="A880" s="540">
        <v>38946</v>
      </c>
      <c r="C880" s="541">
        <f>HLOOKUP("start",ESLData!E$1:E$9983,MATCH($A880,ESLData!$B$1:$B$9983,0))</f>
        <v>0</v>
      </c>
      <c r="E880" s="541">
        <f>HLOOKUP("start",ESLData!F$1:F$9983,MATCH($A880,ESLData!$B$1:$B$9983,0))</f>
        <v>0</v>
      </c>
      <c r="G880" s="541">
        <f>HLOOKUP("start",ESLData!H$1:H$9983,MATCH($A880,ESLData!$B$1:$B$9983,0))</f>
        <v>0</v>
      </c>
    </row>
    <row r="881" spans="1:7" x14ac:dyDescent="0.2">
      <c r="A881" s="540">
        <v>38950</v>
      </c>
      <c r="C881" s="541">
        <f>HLOOKUP("start",ESLData!E$1:E$9983,MATCH($A881,ESLData!$B$1:$B$9983,0))</f>
        <v>422.73</v>
      </c>
      <c r="E881" s="541">
        <f>HLOOKUP("start",ESLData!F$1:F$9983,MATCH($A881,ESLData!$B$1:$B$9983,0))</f>
        <v>0</v>
      </c>
      <c r="G881" s="541">
        <f>HLOOKUP("start",ESLData!H$1:H$9983,MATCH($A881,ESLData!$B$1:$B$9983,0))</f>
        <v>7.83</v>
      </c>
    </row>
    <row r="882" spans="1:7" x14ac:dyDescent="0.2">
      <c r="A882" s="540">
        <v>38951</v>
      </c>
      <c r="C882" s="541">
        <f>HLOOKUP("start",ESLData!E$1:E$9983,MATCH($A882,ESLData!$B$1:$B$9983,0))</f>
        <v>0</v>
      </c>
      <c r="E882" s="541">
        <f>HLOOKUP("start",ESLData!F$1:F$9983,MATCH($A882,ESLData!$B$1:$B$9983,0))</f>
        <v>3200</v>
      </c>
      <c r="G882" s="541">
        <f>HLOOKUP("start",ESLData!H$1:H$9983,MATCH($A882,ESLData!$B$1:$B$9983,0))</f>
        <v>597.61</v>
      </c>
    </row>
    <row r="883" spans="1:7" x14ac:dyDescent="0.2">
      <c r="A883" s="540">
        <v>38952</v>
      </c>
      <c r="C883" s="541">
        <f>HLOOKUP("start",ESLData!E$1:E$9983,MATCH($A883,ESLData!$B$1:$B$9983,0))</f>
        <v>20693.02</v>
      </c>
      <c r="E883" s="541">
        <f>HLOOKUP("start",ESLData!F$1:F$9983,MATCH($A883,ESLData!$B$1:$B$9983,0))</f>
        <v>40000</v>
      </c>
      <c r="G883" s="541">
        <f>HLOOKUP("start",ESLData!H$1:H$9983,MATCH($A883,ESLData!$B$1:$B$9983,0))</f>
        <v>30327.59</v>
      </c>
    </row>
    <row r="884" spans="1:7" x14ac:dyDescent="0.2">
      <c r="A884" s="540">
        <v>38953</v>
      </c>
      <c r="C884" s="541">
        <f>HLOOKUP("start",ESLData!E$1:E$9983,MATCH($A884,ESLData!$B$1:$B$9983,0))</f>
        <v>0</v>
      </c>
      <c r="E884" s="541">
        <f>HLOOKUP("start",ESLData!F$1:F$9983,MATCH($A884,ESLData!$B$1:$B$9983,0))</f>
        <v>0</v>
      </c>
      <c r="G884" s="541">
        <f>HLOOKUP("start",ESLData!H$1:H$9983,MATCH($A884,ESLData!$B$1:$B$9983,0))</f>
        <v>0</v>
      </c>
    </row>
    <row r="885" spans="1:7" x14ac:dyDescent="0.2">
      <c r="A885" s="540">
        <v>38954</v>
      </c>
      <c r="C885" s="541">
        <f>HLOOKUP("start",ESLData!E$1:E$9983,MATCH($A885,ESLData!$B$1:$B$9983,0))</f>
        <v>11574.38</v>
      </c>
      <c r="E885" s="541">
        <f>HLOOKUP("start",ESLData!F$1:F$9983,MATCH($A885,ESLData!$B$1:$B$9983,0))</f>
        <v>16000</v>
      </c>
      <c r="G885" s="541">
        <f>HLOOKUP("start",ESLData!H$1:H$9983,MATCH($A885,ESLData!$B$1:$B$9983,0))</f>
        <v>11793.96</v>
      </c>
    </row>
    <row r="886" spans="1:7" x14ac:dyDescent="0.2">
      <c r="A886" s="540">
        <v>38955</v>
      </c>
      <c r="C886" s="541">
        <f>HLOOKUP("start",ESLData!E$1:E$9983,MATCH($A886,ESLData!$B$1:$B$9983,0))</f>
        <v>0</v>
      </c>
      <c r="E886" s="541">
        <f>HLOOKUP("start",ESLData!F$1:F$9983,MATCH($A886,ESLData!$B$1:$B$9983,0))</f>
        <v>0</v>
      </c>
      <c r="G886" s="541">
        <f>HLOOKUP("start",ESLData!H$1:H$9983,MATCH($A886,ESLData!$B$1:$B$9983,0))</f>
        <v>0</v>
      </c>
    </row>
    <row r="887" spans="1:7" x14ac:dyDescent="0.2">
      <c r="A887" s="540">
        <v>38956</v>
      </c>
      <c r="C887" s="541">
        <f>HLOOKUP("start",ESLData!E$1:E$9983,MATCH($A887,ESLData!$B$1:$B$9983,0))</f>
        <v>0</v>
      </c>
      <c r="E887" s="541">
        <f>HLOOKUP("start",ESLData!F$1:F$9983,MATCH($A887,ESLData!$B$1:$B$9983,0))</f>
        <v>0</v>
      </c>
      <c r="G887" s="541">
        <f>HLOOKUP("start",ESLData!H$1:H$9983,MATCH($A887,ESLData!$B$1:$B$9983,0))</f>
        <v>98.83</v>
      </c>
    </row>
    <row r="888" spans="1:7" x14ac:dyDescent="0.2">
      <c r="A888" s="540">
        <v>38957</v>
      </c>
      <c r="C888" s="541">
        <f>HLOOKUP("start",ESLData!E$1:E$9983,MATCH($A888,ESLData!$B$1:$B$9983,0))</f>
        <v>79.27</v>
      </c>
      <c r="E888" s="541">
        <f>HLOOKUP("start",ESLData!F$1:F$9983,MATCH($A888,ESLData!$B$1:$B$9983,0))</f>
        <v>0</v>
      </c>
      <c r="G888" s="541">
        <f>HLOOKUP("start",ESLData!H$1:H$9983,MATCH($A888,ESLData!$B$1:$B$9983,0))</f>
        <v>667.52</v>
      </c>
    </row>
    <row r="889" spans="1:7" x14ac:dyDescent="0.2">
      <c r="A889" s="540">
        <v>38958</v>
      </c>
      <c r="C889" s="541">
        <f>HLOOKUP("start",ESLData!E$1:E$9983,MATCH($A889,ESLData!$B$1:$B$9983,0))</f>
        <v>33341.17</v>
      </c>
      <c r="E889" s="541">
        <f>HLOOKUP("start",ESLData!F$1:F$9983,MATCH($A889,ESLData!$B$1:$B$9983,0))</f>
        <v>16000</v>
      </c>
      <c r="G889" s="541">
        <f>HLOOKUP("start",ESLData!H$1:H$9983,MATCH($A889,ESLData!$B$1:$B$9983,0))</f>
        <v>16336.25</v>
      </c>
    </row>
    <row r="890" spans="1:7" x14ac:dyDescent="0.2">
      <c r="A890" s="540">
        <v>38959</v>
      </c>
      <c r="C890" s="541">
        <f>HLOOKUP("start",ESLData!E$1:E$9983,MATCH($A890,ESLData!$B$1:$B$9983,0))</f>
        <v>5378.56</v>
      </c>
      <c r="E890" s="541">
        <f>HLOOKUP("start",ESLData!F$1:F$9983,MATCH($A890,ESLData!$B$1:$B$9983,0))</f>
        <v>10000</v>
      </c>
      <c r="G890" s="541">
        <f>HLOOKUP("start",ESLData!H$1:H$9983,MATCH($A890,ESLData!$B$1:$B$9983,0))</f>
        <v>30805.87</v>
      </c>
    </row>
    <row r="891" spans="1:7" x14ac:dyDescent="0.2">
      <c r="A891" s="540">
        <v>38966</v>
      </c>
      <c r="C891" s="541">
        <f>HLOOKUP("start",ESLData!E$1:E$9983,MATCH($A891,ESLData!$B$1:$B$9983,0))</f>
        <v>6792.88</v>
      </c>
      <c r="E891" s="541">
        <f>HLOOKUP("start",ESLData!F$1:F$9983,MATCH($A891,ESLData!$B$1:$B$9983,0))</f>
        <v>8000</v>
      </c>
      <c r="G891" s="541">
        <f>HLOOKUP("start",ESLData!H$1:H$9983,MATCH($A891,ESLData!$B$1:$B$9983,0))</f>
        <v>7877.33</v>
      </c>
    </row>
    <row r="892" spans="1:7" x14ac:dyDescent="0.2">
      <c r="A892" s="540">
        <v>38967</v>
      </c>
      <c r="C892" s="541">
        <f>HLOOKUP("start",ESLData!E$1:E$9983,MATCH($A892,ESLData!$B$1:$B$9983,0))</f>
        <v>2662.69</v>
      </c>
      <c r="E892" s="541">
        <f>HLOOKUP("start",ESLData!F$1:F$9983,MATCH($A892,ESLData!$B$1:$B$9983,0))</f>
        <v>8000</v>
      </c>
      <c r="G892" s="541">
        <f>HLOOKUP("start",ESLData!H$1:H$9983,MATCH($A892,ESLData!$B$1:$B$9983,0))</f>
        <v>18289.400000000001</v>
      </c>
    </row>
    <row r="893" spans="1:7" x14ac:dyDescent="0.2">
      <c r="A893" s="540">
        <v>38968</v>
      </c>
      <c r="C893" s="541">
        <f>HLOOKUP("start",ESLData!E$1:E$9983,MATCH($A893,ESLData!$B$1:$B$9983,0))</f>
        <v>0</v>
      </c>
      <c r="E893" s="541">
        <f>HLOOKUP("start",ESLData!F$1:F$9983,MATCH($A893,ESLData!$B$1:$B$9983,0))</f>
        <v>0</v>
      </c>
      <c r="G893" s="541">
        <f>HLOOKUP("start",ESLData!H$1:H$9983,MATCH($A893,ESLData!$B$1:$B$9983,0))</f>
        <v>0</v>
      </c>
    </row>
    <row r="894" spans="1:7" x14ac:dyDescent="0.2">
      <c r="A894" s="540">
        <v>38969</v>
      </c>
      <c r="C894" s="541">
        <f>HLOOKUP("start",ESLData!E$1:E$9983,MATCH($A894,ESLData!$B$1:$B$9983,0))</f>
        <v>0</v>
      </c>
      <c r="E894" s="541">
        <f>HLOOKUP("start",ESLData!F$1:F$9983,MATCH($A894,ESLData!$B$1:$B$9983,0))</f>
        <v>0</v>
      </c>
      <c r="G894" s="541">
        <f>HLOOKUP("start",ESLData!H$1:H$9983,MATCH($A894,ESLData!$B$1:$B$9983,0))</f>
        <v>0</v>
      </c>
    </row>
    <row r="895" spans="1:7" x14ac:dyDescent="0.2">
      <c r="A895" s="540">
        <v>38810</v>
      </c>
      <c r="C895" s="541">
        <f>HLOOKUP("start",ESLData!E$1:E$9983,MATCH($A895,ESLData!$B$1:$B$9983,0))</f>
        <v>0</v>
      </c>
      <c r="E895" s="541">
        <f>HLOOKUP("start",ESLData!F$1:F$9983,MATCH($A895,ESLData!$B$1:$B$9983,0))</f>
        <v>0</v>
      </c>
      <c r="G895" s="541">
        <f>HLOOKUP("start",ESLData!H$1:H$9983,MATCH($A895,ESLData!$B$1:$B$9983,0))</f>
        <v>0</v>
      </c>
    </row>
    <row r="896" spans="1:7" x14ac:dyDescent="0.2">
      <c r="A896" s="540">
        <v>38972</v>
      </c>
      <c r="C896" s="541">
        <f>HLOOKUP("start",ESLData!E$1:E$9983,MATCH($A896,ESLData!$B$1:$B$9983,0))</f>
        <v>0</v>
      </c>
      <c r="E896" s="541">
        <f>HLOOKUP("start",ESLData!F$1:F$9983,MATCH($A896,ESLData!$B$1:$B$9983,0))</f>
        <v>0</v>
      </c>
      <c r="G896" s="541">
        <f>HLOOKUP("start",ESLData!H$1:H$9983,MATCH($A896,ESLData!$B$1:$B$9983,0))</f>
        <v>0</v>
      </c>
    </row>
    <row r="897" spans="1:9" x14ac:dyDescent="0.2">
      <c r="A897" s="540">
        <v>38974</v>
      </c>
      <c r="C897" s="541">
        <f>HLOOKUP("start",ESLData!E$1:E$9983,MATCH($A897,ESLData!$B$1:$B$9983,0))</f>
        <v>6384.05</v>
      </c>
      <c r="E897" s="541">
        <f>HLOOKUP("start",ESLData!F$1:F$9983,MATCH($A897,ESLData!$B$1:$B$9983,0))</f>
        <v>8000</v>
      </c>
      <c r="G897" s="541">
        <f>HLOOKUP("start",ESLData!H$1:H$9983,MATCH($A897,ESLData!$B$1:$B$9983,0))</f>
        <v>7403.71</v>
      </c>
    </row>
    <row r="898" spans="1:9" x14ac:dyDescent="0.2">
      <c r="A898" s="540">
        <v>38975</v>
      </c>
      <c r="C898" s="541">
        <f>HLOOKUP("start",ESLData!E$1:E$9983,MATCH($A898,ESLData!$B$1:$B$9983,0))</f>
        <v>0</v>
      </c>
      <c r="E898" s="541">
        <f>HLOOKUP("start",ESLData!F$1:F$9983,MATCH($A898,ESLData!$B$1:$B$9983,0))</f>
        <v>0</v>
      </c>
      <c r="G898" s="541">
        <f>HLOOKUP("start",ESLData!H$1:H$9983,MATCH($A898,ESLData!$B$1:$B$9983,0))</f>
        <v>0</v>
      </c>
    </row>
    <row r="899" spans="1:9" x14ac:dyDescent="0.2">
      <c r="A899" s="540">
        <v>38976</v>
      </c>
      <c r="C899" s="541">
        <f>HLOOKUP("start",ESLData!E$1:E$9983,MATCH($A899,ESLData!$B$1:$B$9983,0))</f>
        <v>0</v>
      </c>
      <c r="E899" s="541">
        <f>HLOOKUP("start",ESLData!F$1:F$9983,MATCH($A899,ESLData!$B$1:$B$9983,0))</f>
        <v>0</v>
      </c>
      <c r="G899" s="541">
        <f>HLOOKUP("start",ESLData!H$1:H$9983,MATCH($A899,ESLData!$B$1:$B$9983,0))</f>
        <v>0</v>
      </c>
    </row>
    <row r="900" spans="1:9" x14ac:dyDescent="0.2">
      <c r="A900" s="540">
        <v>38977</v>
      </c>
      <c r="C900" s="541">
        <f>HLOOKUP("start",ESLData!E$1:E$9983,MATCH($A900,ESLData!$B$1:$B$9983,0))</f>
        <v>0</v>
      </c>
      <c r="E900" s="541">
        <f>HLOOKUP("start",ESLData!F$1:F$9983,MATCH($A900,ESLData!$B$1:$B$9983,0))</f>
        <v>0</v>
      </c>
      <c r="G900" s="541">
        <f>HLOOKUP("start",ESLData!H$1:H$9983,MATCH($A900,ESLData!$B$1:$B$9983,0))</f>
        <v>0</v>
      </c>
    </row>
    <row r="901" spans="1:9" x14ac:dyDescent="0.2">
      <c r="A901" s="540">
        <v>38978</v>
      </c>
      <c r="C901" s="541">
        <f>HLOOKUP("start",ESLData!E$1:E$9983,MATCH($A901,ESLData!$B$1:$B$9983,0))</f>
        <v>0</v>
      </c>
      <c r="E901" s="541">
        <f>HLOOKUP("start",ESLData!F$1:F$9983,MATCH($A901,ESLData!$B$1:$B$9983,0))</f>
        <v>0</v>
      </c>
      <c r="G901" s="541">
        <f>HLOOKUP("start",ESLData!H$1:H$9983,MATCH($A901,ESLData!$B$1:$B$9983,0))</f>
        <v>0</v>
      </c>
    </row>
    <row r="902" spans="1:9" x14ac:dyDescent="0.2">
      <c r="A902" s="540">
        <v>38979</v>
      </c>
      <c r="C902" s="541">
        <f>HLOOKUP("start",ESLData!E$1:E$9983,MATCH($A902,ESLData!$B$1:$B$9983,0))</f>
        <v>83.83</v>
      </c>
      <c r="E902" s="541">
        <f>HLOOKUP("start",ESLData!F$1:F$9983,MATCH($A902,ESLData!$B$1:$B$9983,0))</f>
        <v>0</v>
      </c>
      <c r="G902" s="541">
        <f>HLOOKUP("start",ESLData!H$1:H$9983,MATCH($A902,ESLData!$B$1:$B$9983,0))</f>
        <v>67.48</v>
      </c>
    </row>
    <row r="903" spans="1:9" x14ac:dyDescent="0.2">
      <c r="A903" s="540">
        <v>38987</v>
      </c>
      <c r="C903" s="541">
        <f>HLOOKUP("start",ESLData!E$1:E$9983,MATCH($A903,ESLData!$B$1:$B$9983,0))</f>
        <v>11.3</v>
      </c>
      <c r="E903" s="541">
        <f>HLOOKUP("start",ESLData!F$1:F$9983,MATCH($A903,ESLData!$B$1:$B$9983,0))</f>
        <v>0</v>
      </c>
      <c r="G903" s="541">
        <f>HLOOKUP("start",ESLData!H$1:H$9983,MATCH($A903,ESLData!$B$1:$B$9983,0))</f>
        <v>0</v>
      </c>
    </row>
    <row r="904" spans="1:9" x14ac:dyDescent="0.2">
      <c r="A904" s="540">
        <v>38988</v>
      </c>
      <c r="C904" s="541">
        <f>HLOOKUP("start",ESLData!E$1:E$9983,MATCH($A904,ESLData!$B$1:$B$9983,0))</f>
        <v>0</v>
      </c>
      <c r="E904" s="541">
        <f>HLOOKUP("start",ESLData!F$1:F$9983,MATCH($A904,ESLData!$B$1:$B$9983,0))</f>
        <v>0</v>
      </c>
      <c r="G904" s="541">
        <f>HLOOKUP("start",ESLData!H$1:H$9983,MATCH($A904,ESLData!$B$1:$B$9983,0))</f>
        <v>0</v>
      </c>
    </row>
    <row r="905" spans="1:9" x14ac:dyDescent="0.2">
      <c r="A905" s="540">
        <v>38989</v>
      </c>
      <c r="C905" s="541">
        <f>HLOOKUP("start",ESLData!E$1:E$9983,MATCH($A905,ESLData!$B$1:$B$9983,0))</f>
        <v>19165.39</v>
      </c>
      <c r="E905" s="541">
        <f>HLOOKUP("start",ESLData!F$1:F$9983,MATCH($A905,ESLData!$B$1:$B$9983,0))</f>
        <v>32000</v>
      </c>
      <c r="G905" s="541">
        <f>HLOOKUP("start",ESLData!H$1:H$9983,MATCH($A905,ESLData!$B$1:$B$9983,0))</f>
        <v>23292.6</v>
      </c>
    </row>
    <row r="906" spans="1:9" x14ac:dyDescent="0.2">
      <c r="A906" s="540">
        <v>38990</v>
      </c>
      <c r="C906" s="541">
        <f>HLOOKUP("start",ESLData!E$1:E$9983,MATCH($A906,ESLData!$B$1:$B$9983,0))</f>
        <v>17318.509999999998</v>
      </c>
      <c r="E906" s="541">
        <f>HLOOKUP("start",ESLData!F$1:F$9983,MATCH($A906,ESLData!$B$1:$B$9983,0))</f>
        <v>32000</v>
      </c>
      <c r="G906" s="541">
        <f>HLOOKUP("start",ESLData!H$1:H$9983,MATCH($A906,ESLData!$B$1:$B$9983,0))</f>
        <v>18562.75</v>
      </c>
    </row>
    <row r="907" spans="1:9" x14ac:dyDescent="0.2">
      <c r="A907" s="540">
        <v>38995</v>
      </c>
      <c r="C907" s="541">
        <f>HLOOKUP("start",ESLData!E$1:E$9983,MATCH($A907,ESLData!$B$1:$B$9983,0))</f>
        <v>0</v>
      </c>
      <c r="E907" s="541">
        <f>HLOOKUP("start",ESLData!F$1:F$9983,MATCH($A907,ESLData!$B$1:$B$9983,0))</f>
        <v>0</v>
      </c>
      <c r="G907" s="541">
        <f>HLOOKUP("start",ESLData!H$1:H$9983,MATCH($A907,ESLData!$B$1:$B$9983,0))</f>
        <v>0</v>
      </c>
    </row>
    <row r="908" spans="1:9" x14ac:dyDescent="0.2">
      <c r="A908" s="540">
        <v>38980</v>
      </c>
      <c r="C908" s="541">
        <f>HLOOKUP("start",ESLData!E$1:E$9983,MATCH($A908,ESLData!$B$1:$B$9983,0))</f>
        <v>0</v>
      </c>
      <c r="E908" s="541">
        <f>HLOOKUP("start",ESLData!F$1:F$9983,MATCH($A908,ESLData!$B$1:$B$9983,0))</f>
        <v>15000</v>
      </c>
      <c r="G908" s="541">
        <f>HLOOKUP("start",ESLData!H$1:H$9983,MATCH($A908,ESLData!$B$1:$B$9983,0))</f>
        <v>0</v>
      </c>
    </row>
    <row r="909" spans="1:9" x14ac:dyDescent="0.2">
      <c r="A909" s="540">
        <v>38993</v>
      </c>
      <c r="C909" s="541">
        <f>HLOOKUP("start",ESLData!E$1:E$9983,MATCH($A909,ESLData!$B$1:$B$9983,0))</f>
        <v>314.88</v>
      </c>
      <c r="E909" s="541">
        <f>HLOOKUP("start",ESLData!F$1:F$9983,MATCH($A909,ESLData!$B$1:$B$9983,0))</f>
        <v>0</v>
      </c>
      <c r="G909" s="541">
        <f>HLOOKUP("start",ESLData!H$1:H$9983,MATCH($A909,ESLData!$B$1:$B$9983,0))</f>
        <v>0</v>
      </c>
      <c r="I909" s="547"/>
    </row>
    <row r="910" spans="1:9" x14ac:dyDescent="0.2">
      <c r="A910" s="540">
        <v>38997</v>
      </c>
      <c r="C910" s="541">
        <f>HLOOKUP("start",ESLData!E$1:E$9983,MATCH($A910,ESLData!$B$1:$B$9983,0))</f>
        <v>3915.33</v>
      </c>
      <c r="E910" s="541">
        <f>HLOOKUP("start",ESLData!F$1:F$9983,MATCH($A910,ESLData!$B$1:$B$9983,0))</f>
        <v>7000</v>
      </c>
      <c r="G910" s="541">
        <f>HLOOKUP("start",ESLData!H$1:H$9983,MATCH($A910,ESLData!$B$1:$B$9983,0))</f>
        <v>4885.9799999999996</v>
      </c>
    </row>
    <row r="911" spans="1:9" x14ac:dyDescent="0.2">
      <c r="A911" s="540">
        <v>38998</v>
      </c>
      <c r="C911" s="541">
        <f>HLOOKUP("start",ESLData!E$1:E$9983,MATCH($A911,ESLData!$B$1:$B$9983,0))</f>
        <v>0</v>
      </c>
      <c r="D911" s="542">
        <f>SUM(C865:C911)</f>
        <v>366521.26</v>
      </c>
      <c r="E911" s="541">
        <f>HLOOKUP("start",ESLData!F$1:F$9983,MATCH($A911,ESLData!$B$1:$B$9983,0))</f>
        <v>0</v>
      </c>
      <c r="F911" s="542">
        <f>SUM(E865:E911)</f>
        <v>570716</v>
      </c>
      <c r="G911" s="541">
        <f>HLOOKUP("start",ESLData!H$1:H$9983,MATCH($A911,ESLData!$B$1:$B$9983,0))</f>
        <v>0</v>
      </c>
      <c r="H911" s="542">
        <f>SUM(G865:G911)</f>
        <v>389408.05999999994</v>
      </c>
    </row>
    <row r="912" spans="1:9" x14ac:dyDescent="0.2">
      <c r="A912" s="538" t="s">
        <v>821</v>
      </c>
      <c r="C912" s="541"/>
      <c r="E912" s="541"/>
      <c r="G912" s="541"/>
    </row>
    <row r="913" spans="1:8" x14ac:dyDescent="0.2">
      <c r="A913" s="540">
        <v>2910</v>
      </c>
      <c r="C913" s="541">
        <f>HLOOKUP("start",ESLData!E$1:E$9983,MATCH($A913,ESLData!$B$1:$B$9983,0))</f>
        <v>395909.16</v>
      </c>
      <c r="E913" s="541">
        <f>HLOOKUP("start",ESLData!F$1:F$9983,MATCH($A913,ESLData!$B$1:$B$9983,0))</f>
        <v>303203</v>
      </c>
      <c r="G913" s="541">
        <f>HLOOKUP("start",ESLData!H$1:H$9983,MATCH($A913,ESLData!$B$1:$B$9983,0))</f>
        <v>372620.19</v>
      </c>
    </row>
    <row r="914" spans="1:8" x14ac:dyDescent="0.2">
      <c r="A914" s="540">
        <v>2920</v>
      </c>
      <c r="C914" s="541">
        <f>HLOOKUP("start",ESLData!E$1:E$9983,MATCH($A914,ESLData!$B$1:$B$9983,0))</f>
        <v>6179.94</v>
      </c>
      <c r="E914" s="541">
        <f>HLOOKUP("start",ESLData!F$1:F$9983,MATCH($A914,ESLData!$B$1:$B$9983,0))</f>
        <v>0</v>
      </c>
      <c r="G914" s="541">
        <f>HLOOKUP("start",ESLData!H$1:H$9983,MATCH($A914,ESLData!$B$1:$B$9983,0))</f>
        <v>7504.83</v>
      </c>
    </row>
    <row r="915" spans="1:8" x14ac:dyDescent="0.2">
      <c r="A915" s="540">
        <v>2930</v>
      </c>
      <c r="C915" s="541">
        <f>HLOOKUP("start",ESLData!E$1:E$9983,MATCH($A915,ESLData!$B$1:$B$9983,0))</f>
        <v>-1739.13</v>
      </c>
      <c r="D915" s="542">
        <f>SUM(C914:C915)</f>
        <v>4440.8099999999995</v>
      </c>
      <c r="E915" s="541">
        <f>HLOOKUP("start",ESLData!F$1:F$9983,MATCH($A915,ESLData!$B$1:$B$9983,0))</f>
        <v>0</v>
      </c>
      <c r="G915" s="541">
        <f>HLOOKUP("start",ESLData!H$1:H$9983,MATCH($A915,ESLData!$B$1:$B$9983,0))</f>
        <v>-304.35000000000002</v>
      </c>
      <c r="H915" s="542">
        <f>SUM(G913:G915)</f>
        <v>379820.67000000004</v>
      </c>
    </row>
    <row r="916" spans="1:8" x14ac:dyDescent="0.2">
      <c r="A916" s="538" t="s">
        <v>1279</v>
      </c>
      <c r="C916" s="541"/>
      <c r="D916" s="542"/>
      <c r="E916" s="541"/>
      <c r="G916" s="541"/>
      <c r="H916" s="542"/>
    </row>
    <row r="917" spans="1:8" x14ac:dyDescent="0.2">
      <c r="A917" s="540">
        <v>1597</v>
      </c>
      <c r="C917" s="541">
        <f>HLOOKUP("start",ESLData!E$1:E$9983,MATCH($A917,ESLData!$B$1:$B$9983,0))</f>
        <v>11528.19</v>
      </c>
      <c r="D917" s="542">
        <f>SUM(C916:C917)</f>
        <v>11528.19</v>
      </c>
      <c r="E917" s="541">
        <f>HLOOKUP("start",ESLData!F$1:F$9983,MATCH($A917,ESLData!$B$1:$B$9983,0))</f>
        <v>6241</v>
      </c>
      <c r="G917" s="541">
        <f>HLOOKUP("start",ESLData!H$1:H$9983,MATCH($A917,ESLData!$B$1:$B$9983,0))</f>
        <v>3667.61</v>
      </c>
      <c r="H917" s="542"/>
    </row>
    <row r="918" spans="1:8" s="550" customFormat="1" x14ac:dyDescent="0.2">
      <c r="A918" s="543"/>
      <c r="C918" s="541"/>
      <c r="E918" s="541"/>
      <c r="G918" s="541"/>
    </row>
    <row r="919" spans="1:8" x14ac:dyDescent="0.2">
      <c r="A919" s="538" t="s">
        <v>885</v>
      </c>
      <c r="C919" s="541"/>
      <c r="E919" s="541"/>
      <c r="G919" s="541"/>
    </row>
    <row r="920" spans="1:8" x14ac:dyDescent="0.2">
      <c r="A920" s="538" t="s">
        <v>886</v>
      </c>
      <c r="C920" s="541"/>
      <c r="E920" s="541"/>
      <c r="G920" s="541"/>
    </row>
    <row r="921" spans="1:8" x14ac:dyDescent="0.2">
      <c r="A921" s="540">
        <v>9000</v>
      </c>
      <c r="C921" s="541">
        <f>HLOOKUP("start",ESLData!E$1:E$9983,MATCH($A921,ESLData!$B$1:$B$9983,0))</f>
        <v>548126.94999999995</v>
      </c>
      <c r="E921" s="541">
        <f>HLOOKUP("start",ESLData!F$1:F$9983,MATCH($A921,ESLData!$B$1:$B$9983,0))</f>
        <v>0</v>
      </c>
      <c r="G921" s="541">
        <f>HLOOKUP("start",ESLData!H$1:H$9983,MATCH($A921,ESLData!$B$1:$B$9983,0))</f>
        <v>361619.76</v>
      </c>
    </row>
    <row r="922" spans="1:8" x14ac:dyDescent="0.2">
      <c r="A922" s="540">
        <v>9001</v>
      </c>
      <c r="C922" s="541">
        <f>HLOOKUP("start",ESLData!E$1:E$9983,MATCH($A922,ESLData!$B$1:$B$9983,0))</f>
        <v>1097281.33</v>
      </c>
      <c r="E922" s="541">
        <f>HLOOKUP("start",ESLData!F$1:F$9983,MATCH($A922,ESLData!$B$1:$B$9983,0))</f>
        <v>0</v>
      </c>
      <c r="G922" s="541">
        <f>HLOOKUP("start",ESLData!H$1:H$9983,MATCH($A922,ESLData!$B$1:$B$9983,0))</f>
        <v>0</v>
      </c>
    </row>
    <row r="923" spans="1:8" x14ac:dyDescent="0.2">
      <c r="A923" s="540">
        <v>9029</v>
      </c>
      <c r="C923" s="541">
        <f>HLOOKUP("start",ESLData!E$1:E$9983,MATCH($A923,ESLData!$B$1:$B$9983,0))</f>
        <v>1912.66</v>
      </c>
      <c r="E923" s="541">
        <f>HLOOKUP("start",ESLData!F$1:F$9983,MATCH($A923,ESLData!$B$1:$B$9983,0))</f>
        <v>0</v>
      </c>
      <c r="G923" s="541">
        <f>HLOOKUP("start",ESLData!H$1:H$9983,MATCH($A923,ESLData!$B$1:$B$9983,0))</f>
        <v>1912.66</v>
      </c>
    </row>
    <row r="924" spans="1:8" x14ac:dyDescent="0.2">
      <c r="A924" s="540">
        <v>9003</v>
      </c>
      <c r="C924" s="541">
        <f>HLOOKUP("start",ESLData!E$1:E$9983,MATCH($A924,ESLData!$B$1:$B$9983,0))</f>
        <v>902073.02</v>
      </c>
      <c r="E924" s="541">
        <f>HLOOKUP("start",ESLData!F$1:F$9983,MATCH($A924,ESLData!$B$1:$B$9983,0))</f>
        <v>0</v>
      </c>
      <c r="G924" s="541">
        <f>HLOOKUP("start",ESLData!H$1:H$9983,MATCH($A924,ESLData!$B$1:$B$9983,0))</f>
        <v>872833.11</v>
      </c>
    </row>
    <row r="925" spans="1:8" x14ac:dyDescent="0.2">
      <c r="A925" s="540">
        <v>9015</v>
      </c>
      <c r="C925" s="541">
        <f>HLOOKUP("start",ESLData!E$1:E$9983,MATCH($A925,ESLData!$B$1:$B$9983,0))</f>
        <v>1250367.1299999999</v>
      </c>
      <c r="E925" s="541">
        <f>HLOOKUP("start",ESLData!F$1:F$9983,MATCH($A925,ESLData!$B$1:$B$9983,0))</f>
        <v>0</v>
      </c>
      <c r="G925" s="541">
        <f>HLOOKUP("start",ESLData!H$1:H$9983,MATCH($A925,ESLData!$B$1:$B$9983,0))</f>
        <v>400000</v>
      </c>
    </row>
    <row r="926" spans="1:8" x14ac:dyDescent="0.2">
      <c r="A926" s="540">
        <v>9017</v>
      </c>
      <c r="C926" s="541">
        <f>HLOOKUP("start",ESLData!E$1:E$9983,MATCH($A926,ESLData!$B$1:$B$9983,0))</f>
        <v>0</v>
      </c>
      <c r="D926" s="542">
        <f>SUM(C924:C926)</f>
        <v>2152440.15</v>
      </c>
      <c r="E926" s="541">
        <f>HLOOKUP("start",ESLData!F$1:F$9983,MATCH($A926,ESLData!$B$1:$B$9983,0))</f>
        <v>0</v>
      </c>
      <c r="G926" s="541">
        <f>HLOOKUP("start",ESLData!H$1:H$9983,MATCH($A926,ESLData!$B$1:$B$9983,0))</f>
        <v>0</v>
      </c>
      <c r="H926" s="542">
        <f>SUM(G921:G926)</f>
        <v>1636365.53</v>
      </c>
    </row>
    <row r="927" spans="1:8" x14ac:dyDescent="0.2">
      <c r="A927" s="538" t="s">
        <v>1024</v>
      </c>
      <c r="C927" s="541"/>
      <c r="E927" s="541"/>
      <c r="G927" s="541"/>
    </row>
    <row r="928" spans="1:8" x14ac:dyDescent="0.2">
      <c r="A928" s="540">
        <v>9004</v>
      </c>
      <c r="B928" s="539" t="s">
        <v>1018</v>
      </c>
      <c r="C928" s="541">
        <f>HLOOKUP("start",ESLData!E$1:E$9983,MATCH($A928,ESLData!$B$1:$B$9983,0))</f>
        <v>535890.16</v>
      </c>
      <c r="E928" s="541">
        <f>HLOOKUP("start",ESLData!F$1:F$9983,MATCH($A928,ESLData!$B$1:$B$9983,0))</f>
        <v>0</v>
      </c>
      <c r="G928" s="541">
        <f>HLOOKUP("start",ESLData!H$1:H$9983,MATCH($A928,ESLData!$B$1:$B$9983,0))</f>
        <v>519487.87</v>
      </c>
    </row>
    <row r="929" spans="1:8" x14ac:dyDescent="0.2">
      <c r="A929" s="540">
        <v>9005</v>
      </c>
      <c r="C929" s="541">
        <f>HLOOKUP("start",ESLData!E$1:E$9983,MATCH($A929,ESLData!$B$1:$B$9983,0))</f>
        <v>504473.97</v>
      </c>
      <c r="E929" s="541">
        <f>HLOOKUP("start",ESLData!F$1:F$9983,MATCH($A929,ESLData!$B$1:$B$9983,0))</f>
        <v>0</v>
      </c>
      <c r="G929" s="541">
        <f>HLOOKUP("start",ESLData!H$1:H$9983,MATCH($A929,ESLData!$B$1:$B$9983,0))</f>
        <v>769815.84</v>
      </c>
    </row>
    <row r="930" spans="1:8" x14ac:dyDescent="0.2">
      <c r="A930" s="540">
        <v>9006</v>
      </c>
      <c r="B930" s="539" t="s">
        <v>1018</v>
      </c>
      <c r="C930" s="541">
        <f>HLOOKUP("start",ESLData!E$1:E$9983,MATCH($A930,ESLData!$B$1:$B$9983,0))</f>
        <v>850594.91</v>
      </c>
      <c r="E930" s="541">
        <f>HLOOKUP("start",ESLData!F$1:F$9983,MATCH($A930,ESLData!$B$1:$B$9983,0))</f>
        <v>0</v>
      </c>
      <c r="G930" s="541">
        <f>HLOOKUP("start",ESLData!H$1:H$9983,MATCH($A930,ESLData!$B$1:$B$9983,0))</f>
        <v>0</v>
      </c>
    </row>
    <row r="931" spans="1:8" x14ac:dyDescent="0.2">
      <c r="A931" s="540">
        <v>9007</v>
      </c>
      <c r="B931" s="539" t="s">
        <v>1018</v>
      </c>
      <c r="C931" s="541">
        <f>HLOOKUP("start",ESLData!E$1:E$9983,MATCH($A931,ESLData!$B$1:$B$9983,0))</f>
        <v>400000</v>
      </c>
      <c r="E931" s="541">
        <f>HLOOKUP("start",ESLData!F$1:F$9983,MATCH($A931,ESLData!$B$1:$B$9983,0))</f>
        <v>0</v>
      </c>
      <c r="G931" s="541">
        <f>HLOOKUP("start",ESLData!H$1:H$9983,MATCH($A931,ESLData!$B$1:$B$9983,0))</f>
        <v>0</v>
      </c>
    </row>
    <row r="932" spans="1:8" x14ac:dyDescent="0.2">
      <c r="A932" s="540">
        <v>9008</v>
      </c>
      <c r="C932" s="541">
        <f>HLOOKUP("start",ESLData!E$1:E$9983,MATCH($A932,ESLData!$B$1:$B$9983,0))</f>
        <v>0</v>
      </c>
      <c r="E932" s="541">
        <f>HLOOKUP("start",ESLData!F$1:F$9983,MATCH($A932,ESLData!$B$1:$B$9983,0))</f>
        <v>0</v>
      </c>
      <c r="G932" s="541">
        <f>HLOOKUP("start",ESLData!H$1:H$9983,MATCH($A932,ESLData!$B$1:$B$9983,0))</f>
        <v>504369.86</v>
      </c>
    </row>
    <row r="933" spans="1:8" x14ac:dyDescent="0.2">
      <c r="A933" s="540">
        <v>9009</v>
      </c>
      <c r="B933" s="539" t="s">
        <v>1018</v>
      </c>
      <c r="C933" s="541">
        <f>HLOOKUP("start",ESLData!E$1:E$9983,MATCH($A933,ESLData!$B$1:$B$9983,0))</f>
        <v>0</v>
      </c>
      <c r="E933" s="541">
        <f>HLOOKUP("start",ESLData!F$1:F$9983,MATCH($A933,ESLData!$B$1:$B$9983,0))</f>
        <v>0</v>
      </c>
      <c r="G933" s="541">
        <f>HLOOKUP("start",ESLData!H$1:H$9983,MATCH($A933,ESLData!$B$1:$B$9983,0))</f>
        <v>835446.35</v>
      </c>
    </row>
    <row r="934" spans="1:8" x14ac:dyDescent="0.2">
      <c r="A934" s="540">
        <v>9010</v>
      </c>
      <c r="C934" s="541">
        <f>HLOOKUP("start",ESLData!E$1:E$9983,MATCH($A934,ESLData!$B$1:$B$9983,0))</f>
        <v>0</v>
      </c>
      <c r="E934" s="541">
        <f>HLOOKUP("start",ESLData!F$1:F$9983,MATCH($A934,ESLData!$B$1:$B$9983,0))</f>
        <v>0</v>
      </c>
      <c r="G934" s="541">
        <f>HLOOKUP("start",ESLData!H$1:H$9983,MATCH($A934,ESLData!$B$1:$B$9983,0))</f>
        <v>507694.28</v>
      </c>
    </row>
    <row r="935" spans="1:8" x14ac:dyDescent="0.2">
      <c r="A935" s="540">
        <v>9011</v>
      </c>
      <c r="C935" s="541"/>
      <c r="E935" s="541"/>
      <c r="G935" s="541"/>
    </row>
    <row r="936" spans="1:8" x14ac:dyDescent="0.2">
      <c r="A936" s="540">
        <v>9012</v>
      </c>
      <c r="C936" s="541">
        <f>HLOOKUP("start",ESLData!E$1:E$9983,MATCH($A936,ESLData!$B$1:$B$9983,0))</f>
        <v>645762.5</v>
      </c>
      <c r="E936" s="541">
        <f>HLOOKUP("start",ESLData!F$1:F$9983,MATCH($A936,ESLData!$B$1:$B$9983,0))</f>
        <v>0</v>
      </c>
      <c r="G936" s="541">
        <f>HLOOKUP("start",ESLData!H$1:H$9983,MATCH($A936,ESLData!$B$1:$B$9983,0))</f>
        <v>623800.06999999995</v>
      </c>
    </row>
    <row r="937" spans="1:8" x14ac:dyDescent="0.2">
      <c r="A937" s="540">
        <v>9016</v>
      </c>
      <c r="B937" s="539" t="s">
        <v>1018</v>
      </c>
      <c r="C937" s="541">
        <f>HLOOKUP("start",ESLData!E$1:E$9983,MATCH($A937,ESLData!$B$1:$B$9983,0))</f>
        <v>987314.19</v>
      </c>
      <c r="E937" s="541">
        <f>HLOOKUP("start",ESLData!F$1:F$9983,MATCH($A937,ESLData!$B$1:$B$9983,0))</f>
        <v>0</v>
      </c>
      <c r="G937" s="541">
        <f>HLOOKUP("start",ESLData!H$1:H$9983,MATCH($A937,ESLData!$B$1:$B$9983,0))</f>
        <v>958226.16</v>
      </c>
    </row>
    <row r="938" spans="1:8" x14ac:dyDescent="0.2">
      <c r="A938" s="540">
        <v>9018</v>
      </c>
      <c r="B938" s="539" t="s">
        <v>1018</v>
      </c>
      <c r="C938" s="541">
        <f>HLOOKUP("start",ESLData!E$1:E$9983,MATCH($A938,ESLData!$B$1:$B$9983,0))</f>
        <v>0</v>
      </c>
      <c r="E938" s="541">
        <f>HLOOKUP("start",ESLData!F$1:F$9983,MATCH($A938,ESLData!$B$1:$B$9983,0))</f>
        <v>0</v>
      </c>
      <c r="G938" s="541">
        <f>HLOOKUP("start",ESLData!H$1:H$9983,MATCH($A938,ESLData!$B$1:$B$9983,0))</f>
        <v>300000</v>
      </c>
    </row>
    <row r="939" spans="1:8" x14ac:dyDescent="0.2">
      <c r="A939" s="540">
        <v>9019</v>
      </c>
      <c r="B939" s="539" t="s">
        <v>1018</v>
      </c>
      <c r="C939" s="541">
        <f>HLOOKUP("start",ESLData!E$1:E$9983,MATCH($A939,ESLData!$B$1:$B$9983,0))</f>
        <v>24895.33</v>
      </c>
      <c r="E939" s="541">
        <f>HLOOKUP("start",ESLData!F$1:F$9983,MATCH($A939,ESLData!$B$1:$B$9983,0))</f>
        <v>0</v>
      </c>
      <c r="G939" s="541">
        <f>HLOOKUP("start",ESLData!H$1:H$9983,MATCH($A939,ESLData!$B$1:$B$9983,0))</f>
        <v>23953.1</v>
      </c>
    </row>
    <row r="940" spans="1:8" x14ac:dyDescent="0.2">
      <c r="A940" s="540">
        <v>9020</v>
      </c>
      <c r="B940" s="539" t="s">
        <v>1018</v>
      </c>
      <c r="C940" s="541">
        <f>HLOOKUP("start",ESLData!E$1:E$9983,MATCH($A940,ESLData!$B$1:$B$9983,0))</f>
        <v>1076199.04</v>
      </c>
      <c r="E940" s="541">
        <f>HLOOKUP("start",ESLData!F$1:F$9983,MATCH($A940,ESLData!$B$1:$B$9983,0))</f>
        <v>0</v>
      </c>
      <c r="G940" s="541">
        <f>HLOOKUP("start",ESLData!H$1:H$9983,MATCH($A940,ESLData!$B$1:$B$9983,0))</f>
        <v>0</v>
      </c>
    </row>
    <row r="941" spans="1:8" x14ac:dyDescent="0.2">
      <c r="A941" s="540">
        <v>9021</v>
      </c>
      <c r="C941" s="541">
        <f>HLOOKUP("start",ESLData!E$1:E$9983,MATCH($A941,ESLData!$B$1:$B$9983,0))</f>
        <v>0</v>
      </c>
      <c r="D941" s="542">
        <f>SUM(C928:C941)</f>
        <v>5025130.0999999996</v>
      </c>
      <c r="E941" s="541">
        <f>HLOOKUP("start",ESLData!F$1:F$9983,MATCH($A941,ESLData!$B$1:$B$9983,0))</f>
        <v>0</v>
      </c>
      <c r="G941" s="541">
        <f>HLOOKUP("start",ESLData!H$1:H$9983,MATCH($A941,ESLData!$B$1:$B$9983,0))</f>
        <v>0</v>
      </c>
    </row>
    <row r="942" spans="1:8" x14ac:dyDescent="0.2">
      <c r="A942" s="540">
        <v>9002</v>
      </c>
      <c r="B942" s="539" t="s">
        <v>1019</v>
      </c>
      <c r="C942" s="541">
        <f>HLOOKUP("start",ESLData!E$1:E$9983,MATCH($A942,ESLData!$B$1:$B$9983,0))</f>
        <v>0</v>
      </c>
      <c r="E942" s="541">
        <f>HLOOKUP("start",ESLData!F$1:F$9983,MATCH($A942,ESLData!$B$1:$B$9983,0))</f>
        <v>0</v>
      </c>
      <c r="G942" s="541">
        <f>HLOOKUP("start",ESLData!H$1:H$9983,MATCH($A942,ESLData!$B$1:$B$9983,0))</f>
        <v>238242.53</v>
      </c>
    </row>
    <row r="943" spans="1:8" x14ac:dyDescent="0.2">
      <c r="A943" s="540">
        <v>9022</v>
      </c>
      <c r="B943" s="539" t="s">
        <v>1019</v>
      </c>
      <c r="C943" s="541">
        <f>HLOOKUP("start",ESLData!E$1:E$9983,MATCH($A943,ESLData!$B$1:$B$9983,0))</f>
        <v>0</v>
      </c>
      <c r="D943" s="542">
        <f>SUM(C928:C943)</f>
        <v>5025130.0999999996</v>
      </c>
      <c r="E943" s="541">
        <f>HLOOKUP("start",ESLData!F$1:F$9983,MATCH($A943,ESLData!$B$1:$B$9983,0))</f>
        <v>0</v>
      </c>
      <c r="G943" s="541">
        <f>HLOOKUP("start",ESLData!H$1:H$9983,MATCH($A943,ESLData!$B$1:$B$9983,0))</f>
        <v>537140.92000000004</v>
      </c>
      <c r="H943" s="542">
        <f>SUM(G928:G943)</f>
        <v>5818176.9799999995</v>
      </c>
    </row>
    <row r="944" spans="1:8" x14ac:dyDescent="0.2">
      <c r="A944" s="538" t="s">
        <v>862</v>
      </c>
      <c r="C944" s="541"/>
      <c r="E944" s="541"/>
      <c r="G944" s="541"/>
    </row>
    <row r="945" spans="1:10" s="550" customFormat="1" x14ac:dyDescent="0.2">
      <c r="A945" s="544">
        <v>9114</v>
      </c>
      <c r="C945" s="541">
        <f>HLOOKUP("start",ESLData!E$1:E$9983,MATCH($A945,ESLData!$B$1:$B$9983,0))</f>
        <v>3607.56</v>
      </c>
      <c r="E945" s="541">
        <f>HLOOKUP("start",ESLData!F$1:F$9983,MATCH($A945,ESLData!$B$1:$B$9983,0))</f>
        <v>0</v>
      </c>
      <c r="G945" s="541">
        <f>HLOOKUP("start",ESLData!H$1:H$9983,MATCH($A945,ESLData!$B$1:$B$9983,0))</f>
        <v>0</v>
      </c>
      <c r="J945" s="552"/>
    </row>
    <row r="946" spans="1:10" x14ac:dyDescent="0.2">
      <c r="A946" s="540">
        <v>9115</v>
      </c>
      <c r="C946" s="541">
        <f>HLOOKUP("start",ESLData!E$1:E$9983,MATCH($A946,ESLData!$B$1:$B$9983,0))</f>
        <v>6908.71</v>
      </c>
      <c r="E946" s="541">
        <f>HLOOKUP("start",ESLData!F$1:F$9983,MATCH($A946,ESLData!$B$1:$B$9983,0))</f>
        <v>0</v>
      </c>
      <c r="G946" s="541">
        <f>HLOOKUP("start",ESLData!H$1:H$9983,MATCH($A946,ESLData!$B$1:$B$9983,0))</f>
        <v>44385.21</v>
      </c>
    </row>
    <row r="947" spans="1:10" x14ac:dyDescent="0.2">
      <c r="A947" s="540">
        <v>9116</v>
      </c>
      <c r="C947" s="541">
        <f>HLOOKUP("start",ESLData!E$1:E$9983,MATCH($A947,ESLData!$B$1:$B$9983,0))</f>
        <v>48615.98</v>
      </c>
      <c r="D947" s="542">
        <f>+C946+C947+C945</f>
        <v>59132.25</v>
      </c>
      <c r="E947" s="541">
        <f>HLOOKUP("start",ESLData!F$1:F$9983,MATCH($A947,ESLData!$B$1:$B$9983,0))</f>
        <v>0</v>
      </c>
      <c r="G947" s="541">
        <f>HLOOKUP("start",ESLData!H$1:H$9983,MATCH($A947,ESLData!$B$1:$B$9983,0))</f>
        <v>51601.04</v>
      </c>
      <c r="H947" s="542">
        <f>+G946+G947+G945</f>
        <v>95986.25</v>
      </c>
    </row>
    <row r="948" spans="1:10" x14ac:dyDescent="0.2">
      <c r="A948" s="540" t="s">
        <v>711</v>
      </c>
      <c r="C948" s="541">
        <f>HLOOKUP("start",ESLData!E$1:E$9983,MATCH($A948,ESLData!$B$1:$B$9983,0))</f>
        <v>625600</v>
      </c>
      <c r="E948" s="541">
        <f>HLOOKUP("start",ESLData!F$1:F$9983,MATCH($A948,ESLData!$B$1:$B$9983,0))</f>
        <v>0</v>
      </c>
      <c r="G948" s="541">
        <f>HLOOKUP("start",ESLData!H$1:H$9983,MATCH($A948,ESLData!$B$1:$B$9983,0))</f>
        <v>528914.47</v>
      </c>
    </row>
    <row r="949" spans="1:10" x14ac:dyDescent="0.2">
      <c r="A949" s="540">
        <v>9112</v>
      </c>
      <c r="C949" s="541">
        <f>HLOOKUP("start",ESLData!E$1:E$9983,MATCH($A949,ESLData!$B$1:$B$9983,0))</f>
        <v>48777.18</v>
      </c>
      <c r="D949" s="542"/>
      <c r="E949" s="541">
        <f>HLOOKUP("start",ESLData!F$1:F$9983,MATCH($A949,ESLData!$B$1:$B$9983,0))</f>
        <v>0</v>
      </c>
      <c r="G949" s="541">
        <f>HLOOKUP("start",ESLData!H$1:H$9983,MATCH($A949,ESLData!$B$1:$B$9983,0))</f>
        <v>35443.14</v>
      </c>
      <c r="H949" s="542">
        <f>SUM(G946:G949)</f>
        <v>660343.86</v>
      </c>
    </row>
    <row r="950" spans="1:10" x14ac:dyDescent="0.2">
      <c r="A950" s="540">
        <v>9120</v>
      </c>
      <c r="C950" s="541">
        <f>HLOOKUP("start",ESLData!E$1:E$9983,MATCH($A950,ESLData!$B$1:$B$9983,0))</f>
        <v>249776.25</v>
      </c>
      <c r="D950" s="542">
        <f>SUM(C946:C950)</f>
        <v>979678.12</v>
      </c>
      <c r="E950" s="541">
        <f>HLOOKUP("start",ESLData!F$1:F$9983,MATCH($A950,ESLData!$B$1:$B$9983,0))</f>
        <v>0</v>
      </c>
      <c r="G950" s="541">
        <f>HLOOKUP("start",ESLData!H$1:H$9983,MATCH($A950,ESLData!$B$1:$B$9983,0))</f>
        <v>288850</v>
      </c>
    </row>
    <row r="951" spans="1:10" x14ac:dyDescent="0.2">
      <c r="A951" s="538" t="s">
        <v>1061</v>
      </c>
      <c r="C951" s="541"/>
      <c r="E951" s="541"/>
      <c r="G951" s="541"/>
    </row>
    <row r="952" spans="1:10" x14ac:dyDescent="0.2">
      <c r="A952" s="540">
        <v>9030</v>
      </c>
      <c r="C952" s="541">
        <f>HLOOKUP("start",ESLData!E$1:E$9983,MATCH($A952,ESLData!$B$1:$B$9983,0))</f>
        <v>88151.53</v>
      </c>
      <c r="E952" s="541">
        <f>HLOOKUP("start",ESLData!F$1:F$9983,MATCH($A952,ESLData!$B$1:$B$9983,0))</f>
        <v>0</v>
      </c>
      <c r="G952" s="541">
        <f>HLOOKUP("start",ESLData!H$1:H$9983,MATCH($A952,ESLData!$B$1:$B$9983,0))</f>
        <v>100408.32000000001</v>
      </c>
    </row>
    <row r="953" spans="1:10" x14ac:dyDescent="0.2">
      <c r="A953" s="540">
        <v>9035</v>
      </c>
      <c r="C953" s="541">
        <f>HLOOKUP("start",ESLData!E$1:E$9983,MATCH($A953,ESLData!$B$1:$B$9983,0))</f>
        <v>0</v>
      </c>
      <c r="E953" s="541">
        <f>HLOOKUP("start",ESLData!F$1:F$9983,MATCH($A953,ESLData!$B$1:$B$9983,0))</f>
        <v>0</v>
      </c>
      <c r="G953" s="541">
        <f>HLOOKUP("start",ESLData!H$1:H$9983,MATCH($A953,ESLData!$B$1:$B$9983,0))</f>
        <v>0</v>
      </c>
    </row>
    <row r="954" spans="1:10" x14ac:dyDescent="0.2">
      <c r="A954" s="540">
        <v>9040</v>
      </c>
      <c r="C954" s="541">
        <f>HLOOKUP("start",ESLData!E$1:E$9983,MATCH($A954,ESLData!$B$1:$B$9983,0))</f>
        <v>-44846.06</v>
      </c>
      <c r="D954" s="542">
        <f>SUM(C952:C954)</f>
        <v>43305.47</v>
      </c>
      <c r="E954" s="541">
        <f>HLOOKUP("start",ESLData!F$1:F$9983,MATCH($A954,ESLData!$B$1:$B$9983,0))</f>
        <v>0</v>
      </c>
      <c r="G954" s="541">
        <f>HLOOKUP("start",ESLData!H$1:H$9983,MATCH($A954,ESLData!$B$1:$B$9983,0))</f>
        <v>-19250.87</v>
      </c>
      <c r="H954" s="542">
        <f>SUM(G952:G954)</f>
        <v>81157.450000000012</v>
      </c>
    </row>
    <row r="955" spans="1:10" x14ac:dyDescent="0.2">
      <c r="A955" s="538" t="s">
        <v>822</v>
      </c>
      <c r="C955" s="541"/>
      <c r="E955" s="541"/>
      <c r="G955" s="541"/>
    </row>
    <row r="956" spans="1:10" x14ac:dyDescent="0.2">
      <c r="A956" s="540">
        <v>9117</v>
      </c>
      <c r="C956" s="541">
        <f>HLOOKUP("start",ESLData!E$1:E$9983,MATCH($A956,ESLData!$B$1:$B$9983,0))</f>
        <v>80261.960000000006</v>
      </c>
      <c r="E956" s="541">
        <f>HLOOKUP("start",ESLData!F$1:F$9983,MATCH($A956,ESLData!$B$1:$B$9983,0))</f>
        <v>0</v>
      </c>
      <c r="G956" s="541">
        <f>HLOOKUP("start",ESLData!H$1:H$9983,MATCH($A956,ESLData!$B$1:$B$9983,0))</f>
        <v>75226.78</v>
      </c>
    </row>
    <row r="957" spans="1:10" x14ac:dyDescent="0.2">
      <c r="A957" s="538" t="s">
        <v>823</v>
      </c>
      <c r="C957" s="541"/>
      <c r="E957" s="541"/>
      <c r="G957" s="541"/>
    </row>
    <row r="958" spans="1:10" x14ac:dyDescent="0.2">
      <c r="A958" s="540">
        <v>9127</v>
      </c>
      <c r="C958" s="541">
        <f>HLOOKUP("start",ESLData!E$1:E$9983,MATCH($A958,ESLData!$B$1:$B$9983,0))</f>
        <v>3142.81</v>
      </c>
      <c r="E958" s="541">
        <f>HLOOKUP("start",ESLData!F$1:F$9983,MATCH($A958,ESLData!$B$1:$B$9983,0))</f>
        <v>0</v>
      </c>
      <c r="G958" s="541">
        <f>HLOOKUP("start",ESLData!H$1:H$9983,MATCH($A958,ESLData!$B$1:$B$9983,0))</f>
        <v>3534.61</v>
      </c>
    </row>
    <row r="959" spans="1:10" x14ac:dyDescent="0.2">
      <c r="A959" s="538" t="s">
        <v>863</v>
      </c>
      <c r="C959" s="541"/>
      <c r="E959" s="541"/>
      <c r="G959" s="541"/>
    </row>
    <row r="960" spans="1:10" x14ac:dyDescent="0.2">
      <c r="A960" s="540">
        <v>9300</v>
      </c>
      <c r="C960" s="541">
        <f>HLOOKUP("start",ESLData!E$1:E$9983,MATCH($A960,ESLData!$B$1:$B$9983,0))*-1</f>
        <v>77628.91</v>
      </c>
      <c r="E960" s="541">
        <f>HLOOKUP("start",ESLData!F$1:F$9983,MATCH($A960,ESLData!$B$1:$B$9983,0))</f>
        <v>0</v>
      </c>
      <c r="G960" s="541">
        <f>HLOOKUP("start",ESLData!H$1:H$9983,MATCH($A960,ESLData!$B$1:$B$9983,0))*-1</f>
        <v>100722.94</v>
      </c>
    </row>
    <row r="961" spans="1:8" x14ac:dyDescent="0.2">
      <c r="A961" s="540">
        <v>9318</v>
      </c>
      <c r="C961" s="541">
        <f>HLOOKUP("start",ESLData!E$1:E$9983,MATCH($A961,ESLData!$B$1:$B$9983,0))*-1</f>
        <v>126143.21</v>
      </c>
      <c r="E961" s="541">
        <f>HLOOKUP("start",ESLData!F$1:F$9983,MATCH($A961,ESLData!$B$1:$B$9983,0))</f>
        <v>0</v>
      </c>
      <c r="G961" s="541">
        <f>HLOOKUP("start",ESLData!H$1:H$9983,MATCH($A961,ESLData!$B$1:$B$9983,0))*-1</f>
        <v>100878</v>
      </c>
    </row>
    <row r="962" spans="1:8" x14ac:dyDescent="0.2">
      <c r="A962" s="540">
        <v>9319</v>
      </c>
      <c r="C962" s="541">
        <f>HLOOKUP("start",ESLData!E$1:E$9983,MATCH($A962,ESLData!$B$1:$B$9983,0))*-1</f>
        <v>7036.88</v>
      </c>
      <c r="E962" s="541">
        <f>HLOOKUP("start",ESLData!F$1:F$9983,MATCH($A962,ESLData!$B$1:$B$9983,0))</f>
        <v>0</v>
      </c>
      <c r="G962" s="541">
        <f>HLOOKUP("start",ESLData!H$1:H$9983,MATCH($A962,ESLData!$B$1:$B$9983,0))*-1</f>
        <v>7145.38</v>
      </c>
    </row>
    <row r="963" spans="1:8" x14ac:dyDescent="0.2">
      <c r="A963" s="540">
        <v>9320</v>
      </c>
      <c r="C963" s="541">
        <f>HLOOKUP("start",ESLData!E$1:E$9983,MATCH($A963,ESLData!$B$1:$B$9983,0))*-1</f>
        <v>39221.53</v>
      </c>
      <c r="E963" s="541">
        <f>HLOOKUP("start",ESLData!F$1:F$9983,MATCH($A963,ESLData!$B$1:$B$9983,0))</f>
        <v>0</v>
      </c>
      <c r="G963" s="541">
        <f>HLOOKUP("start",ESLData!H$1:H$9983,MATCH($A963,ESLData!$B$1:$B$9983,0))*-1</f>
        <v>44907.82</v>
      </c>
    </row>
    <row r="964" spans="1:8" x14ac:dyDescent="0.2">
      <c r="A964" s="540" t="s">
        <v>718</v>
      </c>
      <c r="C964" s="541">
        <f>HLOOKUP("start",ESLData!E$1:E$9983,MATCH($A964,ESLData!$B$1:$B$9983,0))*-1</f>
        <v>625600</v>
      </c>
      <c r="D964" s="542">
        <f>SUM(C960:C964)</f>
        <v>875630.53</v>
      </c>
      <c r="E964" s="541">
        <f>HLOOKUP("start",ESLData!F$1:F$9983,MATCH($A964,ESLData!$B$1:$B$9983,0))</f>
        <v>0</v>
      </c>
      <c r="G964" s="541">
        <f>HLOOKUP("start",ESLData!H$1:H$9983,MATCH($A964,ESLData!$B$1:$B$9983,0))*-1</f>
        <v>528914.47</v>
      </c>
      <c r="H964" s="542">
        <f>SUM(G960:G964)</f>
        <v>782568.61</v>
      </c>
    </row>
    <row r="965" spans="1:8" x14ac:dyDescent="0.2">
      <c r="A965" s="538" t="s">
        <v>1063</v>
      </c>
      <c r="C965" s="541"/>
      <c r="E965" s="541"/>
      <c r="G965" s="541"/>
    </row>
    <row r="966" spans="1:8" x14ac:dyDescent="0.2">
      <c r="A966" s="540">
        <v>9601</v>
      </c>
      <c r="C966" s="541">
        <f>HLOOKUP("start",ESLData!E$1:E$9983,MATCH($A966,ESLData!$B$1:$B$9983,0))*-1</f>
        <v>96.55</v>
      </c>
      <c r="E966" s="541">
        <f>HLOOKUP("start",ESLData!F$1:F$9983,MATCH($A966,ESLData!$B$1:$B$9983,0))</f>
        <v>0</v>
      </c>
      <c r="F966" s="539" t="s">
        <v>1064</v>
      </c>
      <c r="G966" s="541">
        <f>HLOOKUP("start",ESLData!H$1:H$9983,MATCH($A966,ESLData!$B$1:$B$9983,0))*-1</f>
        <v>96.55</v>
      </c>
    </row>
    <row r="967" spans="1:8" x14ac:dyDescent="0.2">
      <c r="A967" s="540">
        <v>9602</v>
      </c>
      <c r="C967" s="541">
        <f>HLOOKUP("start",ESLData!E$1:E$9983,MATCH($A967,ESLData!$B$1:$B$9983,0))*-1</f>
        <v>0</v>
      </c>
      <c r="E967" s="541">
        <f>HLOOKUP("start",ESLData!F$1:F$9983,MATCH($A967,ESLData!$B$1:$B$9983,0))</f>
        <v>0</v>
      </c>
      <c r="G967" s="541">
        <f>HLOOKUP("start",ESLData!H$1:H$9983,MATCH($A967,ESLData!$B$1:$B$9983,0))*-1</f>
        <v>0</v>
      </c>
    </row>
    <row r="968" spans="1:8" x14ac:dyDescent="0.2">
      <c r="A968" s="540">
        <v>9603</v>
      </c>
      <c r="C968" s="541">
        <f>HLOOKUP("start",ESLData!E$1:E$9983,MATCH($A968,ESLData!$B$1:$B$9983,0))*-1</f>
        <v>-1302.77</v>
      </c>
      <c r="E968" s="541">
        <f>HLOOKUP("start",ESLData!F$1:F$9983,MATCH($A968,ESLData!$B$1:$B$9983,0))</f>
        <v>0</v>
      </c>
      <c r="G968" s="541">
        <f>HLOOKUP("start",ESLData!H$1:H$9983,MATCH($A968,ESLData!$B$1:$B$9983,0))*-1</f>
        <v>-1302.77</v>
      </c>
    </row>
    <row r="969" spans="1:8" x14ac:dyDescent="0.2">
      <c r="A969" s="540">
        <v>9604</v>
      </c>
      <c r="C969" s="541">
        <f>HLOOKUP("start",ESLData!E$1:E$9983,MATCH($A969,ESLData!$B$1:$B$9983,0))*-1</f>
        <v>0</v>
      </c>
      <c r="E969" s="541">
        <f>HLOOKUP("start",ESLData!F$1:F$9983,MATCH($A969,ESLData!$B$1:$B$9983,0))</f>
        <v>0</v>
      </c>
      <c r="G969" s="541">
        <f>HLOOKUP("start",ESLData!H$1:H$9983,MATCH($A969,ESLData!$B$1:$B$9983,0))*-1</f>
        <v>0</v>
      </c>
    </row>
    <row r="970" spans="1:8" x14ac:dyDescent="0.2">
      <c r="A970" s="540">
        <v>9605</v>
      </c>
      <c r="C970" s="541">
        <f>HLOOKUP("start",ESLData!E$1:E$9983,MATCH($A970,ESLData!$B$1:$B$9983,0))*-1</f>
        <v>0</v>
      </c>
      <c r="E970" s="541">
        <f>HLOOKUP("start",ESLData!F$1:F$9983,MATCH($A970,ESLData!$B$1:$B$9983,0))</f>
        <v>0</v>
      </c>
      <c r="G970" s="541">
        <f>HLOOKUP("start",ESLData!H$1:H$9983,MATCH($A970,ESLData!$B$1:$B$9983,0))*-1</f>
        <v>0</v>
      </c>
    </row>
    <row r="971" spans="1:8" x14ac:dyDescent="0.2">
      <c r="A971" s="540">
        <v>9606</v>
      </c>
      <c r="C971" s="541">
        <f>HLOOKUP("start",ESLData!E$1:E$9983,MATCH($A971,ESLData!$B$1:$B$9983,0))*-1</f>
        <v>76.28</v>
      </c>
      <c r="E971" s="541">
        <f>HLOOKUP("start",ESLData!F$1:F$9983,MATCH($A971,ESLData!$B$1:$B$9983,0))</f>
        <v>0</v>
      </c>
      <c r="G971" s="541">
        <f>HLOOKUP("start",ESLData!H$1:H$9983,MATCH($A971,ESLData!$B$1:$B$9983,0))*-1</f>
        <v>-2455.5</v>
      </c>
    </row>
    <row r="972" spans="1:8" x14ac:dyDescent="0.2">
      <c r="A972" s="540">
        <v>9607</v>
      </c>
      <c r="C972" s="541">
        <f>HLOOKUP("start",ESLData!E$1:E$9983,MATCH($A972,ESLData!$B$1:$B$9983,0))*-1</f>
        <v>0</v>
      </c>
      <c r="E972" s="541">
        <f>HLOOKUP("start",ESLData!F$1:F$9983,MATCH($A972,ESLData!$B$1:$B$9983,0))</f>
        <v>0</v>
      </c>
      <c r="G972" s="541">
        <f>HLOOKUP("start",ESLData!H$1:H$9983,MATCH($A972,ESLData!$B$1:$B$9983,0))*-1</f>
        <v>0</v>
      </c>
    </row>
    <row r="973" spans="1:8" x14ac:dyDescent="0.2">
      <c r="A973" s="540">
        <v>9608</v>
      </c>
      <c r="C973" s="541">
        <f>HLOOKUP("start",ESLData!E$1:E$9983,MATCH($A973,ESLData!$B$1:$B$9983,0))*-1</f>
        <v>0</v>
      </c>
      <c r="E973" s="541">
        <f>HLOOKUP("start",ESLData!F$1:F$9983,MATCH($A973,ESLData!$B$1:$B$9983,0))</f>
        <v>0</v>
      </c>
      <c r="G973" s="541">
        <f>HLOOKUP("start",ESLData!H$1:H$9983,MATCH($A973,ESLData!$B$1:$B$9983,0))*-1</f>
        <v>0</v>
      </c>
    </row>
    <row r="974" spans="1:8" x14ac:dyDescent="0.2">
      <c r="A974" s="540">
        <v>9609</v>
      </c>
      <c r="C974" s="541">
        <f>HLOOKUP("start",ESLData!E$1:E$9983,MATCH($A974,ESLData!$B$1:$B$9983,0))*-1</f>
        <v>-556.27</v>
      </c>
      <c r="E974" s="541">
        <f>HLOOKUP("start",ESLData!F$1:F$9983,MATCH($A974,ESLData!$B$1:$B$9983,0))</f>
        <v>0</v>
      </c>
      <c r="G974" s="541">
        <f>HLOOKUP("start",ESLData!H$1:H$9983,MATCH($A974,ESLData!$B$1:$B$9983,0))*-1</f>
        <v>-556.27</v>
      </c>
    </row>
    <row r="975" spans="1:8" x14ac:dyDescent="0.2">
      <c r="A975" s="540">
        <v>9610</v>
      </c>
      <c r="C975" s="541">
        <f>HLOOKUP("start",ESLData!E$1:E$9983,MATCH($A975,ESLData!$B$1:$B$9983,0))*-1</f>
        <v>3259.98</v>
      </c>
      <c r="E975" s="541">
        <f>HLOOKUP("start",ESLData!F$1:F$9983,MATCH($A975,ESLData!$B$1:$B$9983,0))</f>
        <v>0</v>
      </c>
      <c r="G975" s="541">
        <f>HLOOKUP("start",ESLData!H$1:H$9983,MATCH($A975,ESLData!$B$1:$B$9983,0))*-1</f>
        <v>3499.43</v>
      </c>
    </row>
    <row r="976" spans="1:8" x14ac:dyDescent="0.2">
      <c r="A976" s="540">
        <v>9611</v>
      </c>
      <c r="C976" s="541">
        <f>HLOOKUP("start",ESLData!E$1:E$9983,MATCH($A976,ESLData!$B$1:$B$9983,0))*-1</f>
        <v>4751.96</v>
      </c>
      <c r="E976" s="541">
        <f>HLOOKUP("start",ESLData!F$1:F$9983,MATCH($A976,ESLData!$B$1:$B$9983,0))</f>
        <v>0</v>
      </c>
      <c r="G976" s="541">
        <f>HLOOKUP("start",ESLData!H$1:H$9983,MATCH($A976,ESLData!$B$1:$B$9983,0))*-1</f>
        <v>2072.66</v>
      </c>
    </row>
    <row r="977" spans="1:8" x14ac:dyDescent="0.2">
      <c r="A977" s="540">
        <v>9612</v>
      </c>
      <c r="C977" s="541">
        <f>HLOOKUP("start",ESLData!E$1:E$9983,MATCH($A977,ESLData!$B$1:$B$9983,0))*-1</f>
        <v>316.86</v>
      </c>
      <c r="E977" s="541">
        <f>HLOOKUP("start",ESLData!F$1:F$9983,MATCH($A977,ESLData!$B$1:$B$9983,0))</f>
        <v>0</v>
      </c>
      <c r="G977" s="541">
        <f>HLOOKUP("start",ESLData!H$1:H$9983,MATCH($A977,ESLData!$B$1:$B$9983,0))*-1</f>
        <v>316.86</v>
      </c>
    </row>
    <row r="978" spans="1:8" x14ac:dyDescent="0.2">
      <c r="A978" s="540">
        <v>9613</v>
      </c>
      <c r="C978" s="541">
        <f>HLOOKUP("start",ESLData!E$1:E$9983,MATCH($A978,ESLData!$B$1:$B$9983,0))*-1</f>
        <v>2818.69</v>
      </c>
      <c r="E978" s="541">
        <f>HLOOKUP("start",ESLData!F$1:F$9983,MATCH($A978,ESLData!$B$1:$B$9983,0))</f>
        <v>0</v>
      </c>
      <c r="G978" s="541">
        <f>HLOOKUP("start",ESLData!H$1:H$9983,MATCH($A978,ESLData!$B$1:$B$9983,0))*-1</f>
        <v>-2131.9899999999998</v>
      </c>
    </row>
    <row r="979" spans="1:8" x14ac:dyDescent="0.2">
      <c r="A979" s="540">
        <v>9614</v>
      </c>
      <c r="C979" s="541">
        <f>HLOOKUP("start",ESLData!E$1:E$9983,MATCH($A979,ESLData!$B$1:$B$9983,0))*-1</f>
        <v>-3732.14</v>
      </c>
      <c r="E979" s="541">
        <f>HLOOKUP("start",ESLData!F$1:F$9983,MATCH($A979,ESLData!$B$1:$B$9983,0))</f>
        <v>0</v>
      </c>
      <c r="G979" s="541">
        <f>HLOOKUP("start",ESLData!H$1:H$9983,MATCH($A979,ESLData!$B$1:$B$9983,0))*-1</f>
        <v>6972.86</v>
      </c>
    </row>
    <row r="980" spans="1:8" x14ac:dyDescent="0.2">
      <c r="A980" s="540">
        <v>9615</v>
      </c>
      <c r="C980" s="541">
        <f>HLOOKUP("start",ESLData!E$1:E$9983,MATCH($A980,ESLData!$B$1:$B$9983,0))*-1</f>
        <v>16845.7</v>
      </c>
      <c r="E980" s="541">
        <f>HLOOKUP("start",ESLData!F$1:F$9983,MATCH($A980,ESLData!$B$1:$B$9983,0))</f>
        <v>0</v>
      </c>
      <c r="G980" s="541">
        <f>HLOOKUP("start",ESLData!H$1:H$9983,MATCH($A980,ESLData!$B$1:$B$9983,0))*-1</f>
        <v>19905.919999999998</v>
      </c>
    </row>
    <row r="981" spans="1:8" x14ac:dyDescent="0.2">
      <c r="A981" s="540">
        <v>9616</v>
      </c>
      <c r="C981" s="541">
        <f>HLOOKUP("start",ESLData!E$1:E$9983,MATCH($A981,ESLData!$B$1:$B$9983,0))*-1</f>
        <v>-740.43</v>
      </c>
      <c r="E981" s="541">
        <f>HLOOKUP("start",ESLData!F$1:F$9983,MATCH($A981,ESLData!$B$1:$B$9983,0))</f>
        <v>0</v>
      </c>
      <c r="G981" s="541">
        <f>HLOOKUP("start",ESLData!H$1:H$9983,MATCH($A981,ESLData!$B$1:$B$9983,0))*-1</f>
        <v>-1001.3</v>
      </c>
    </row>
    <row r="982" spans="1:8" s="550" customFormat="1" x14ac:dyDescent="0.2">
      <c r="A982" s="543">
        <v>9617</v>
      </c>
      <c r="C982" s="541">
        <f>HLOOKUP("start",ESLData!E$1:E$9983,MATCH($A982,ESLData!$B$1:$B$9983,0))*-1</f>
        <v>9031.52</v>
      </c>
      <c r="D982" s="551">
        <f>SUM(C967:C982)</f>
        <v>30769.38</v>
      </c>
      <c r="E982" s="541">
        <f>HLOOKUP("start",ESLData!F$1:F$9983,MATCH($A982,ESLData!$B$1:$B$9983,0))</f>
        <v>0</v>
      </c>
      <c r="G982" s="541">
        <f>HLOOKUP("start",ESLData!H$1:H$9983,MATCH($A982,ESLData!$B$1:$B$9983,0))*-1</f>
        <v>0</v>
      </c>
      <c r="H982" s="551">
        <f>SUM(G967:G982)</f>
        <v>25319.899999999998</v>
      </c>
    </row>
    <row r="983" spans="1:8" x14ac:dyDescent="0.2">
      <c r="A983" s="538" t="s">
        <v>476</v>
      </c>
      <c r="C983" s="541"/>
      <c r="E983" s="541"/>
      <c r="G983" s="541"/>
    </row>
    <row r="984" spans="1:8" x14ac:dyDescent="0.2">
      <c r="A984" s="540">
        <v>9329</v>
      </c>
      <c r="C984" s="541">
        <f>HLOOKUP("start",ESLData!E$1:E$9983,MATCH($A984,ESLData!$B$1:$B$9983,0))*-1</f>
        <v>0</v>
      </c>
      <c r="E984" s="541">
        <f>HLOOKUP("start",ESLData!F$1:F$9983,MATCH($A984,ESLData!$B$1:$B$9983,0))</f>
        <v>0</v>
      </c>
      <c r="G984" s="541">
        <f>HLOOKUP("start",ESLData!H$1:H$9983,MATCH($A984,ESLData!$B$1:$B$9983,0))*-1</f>
        <v>0</v>
      </c>
    </row>
    <row r="985" spans="1:8" x14ac:dyDescent="0.2">
      <c r="A985" s="540">
        <v>9429</v>
      </c>
      <c r="C985" s="541">
        <f>HLOOKUP("start",ESLData!E$1:E$9983,MATCH($A985,ESLData!$B$1:$B$9983,0))*-1</f>
        <v>121122</v>
      </c>
      <c r="E985" s="541">
        <f>HLOOKUP("start",ESLData!F$1:F$9983,MATCH($A985,ESLData!$B$1:$B$9983,0))</f>
        <v>0</v>
      </c>
      <c r="G985" s="541">
        <f>HLOOKUP("start",ESLData!H$1:H$9983,MATCH($A985,ESLData!$B$1:$B$9983,0))*-1</f>
        <v>98311</v>
      </c>
    </row>
    <row r="986" spans="1:8" x14ac:dyDescent="0.2">
      <c r="A986" s="538" t="s">
        <v>1065</v>
      </c>
      <c r="C986" s="541"/>
      <c r="E986" s="541"/>
      <c r="G986" s="541"/>
    </row>
    <row r="987" spans="1:8" x14ac:dyDescent="0.2">
      <c r="A987" s="540">
        <v>9370</v>
      </c>
      <c r="C987" s="541">
        <f>HLOOKUP("start",ESLData!E$1:E$9983,MATCH($A987,ESLData!$B$1:$B$9983,0))</f>
        <v>2464308.6800000002</v>
      </c>
      <c r="E987" s="541">
        <f>HLOOKUP("start",ESLData!F$1:F$9983,MATCH($A987,ESLData!$B$1:$B$9983,0))</f>
        <v>2464309</v>
      </c>
      <c r="G987" s="541">
        <f>HLOOKUP("start",ESLData!H$1:H$9983,MATCH($A987,ESLData!$B$1:$B$9983,0))</f>
        <v>2257134.86</v>
      </c>
    </row>
    <row r="988" spans="1:8" x14ac:dyDescent="0.2">
      <c r="A988" s="540" t="s">
        <v>739</v>
      </c>
      <c r="C988" s="541">
        <f>HLOOKUP("start",ESLData!E$1:E$9983,MATCH($A988,ESLData!$B$1:$B$9983,0))</f>
        <v>0</v>
      </c>
      <c r="E988" s="541">
        <f>HLOOKUP("start",ESLData!F$1:F$9983,MATCH($A988,ESLData!$B$1:$B$9983,0))</f>
        <v>0</v>
      </c>
      <c r="G988" s="541">
        <f>HLOOKUP("start",ESLData!H$1:H$9983,MATCH($A988,ESLData!$B$1:$B$9983,0))</f>
        <v>0</v>
      </c>
    </row>
    <row r="989" spans="1:8" x14ac:dyDescent="0.2">
      <c r="A989" s="540" t="s">
        <v>236</v>
      </c>
      <c r="C989" s="541">
        <f>HLOOKUP("start",ESLData!E$1:E$9983,MATCH($A989,ESLData!$B$1:$B$9983,0))</f>
        <v>-6179.94</v>
      </c>
      <c r="E989" s="541">
        <f>HLOOKUP("start",ESLData!F$1:F$9983,MATCH($A989,ESLData!$B$1:$B$9983,0))</f>
        <v>0</v>
      </c>
      <c r="G989" s="541">
        <f>HLOOKUP("start",ESLData!H$1:H$9983,MATCH($A989,ESLData!$B$1:$B$9983,0))</f>
        <v>-7504.83</v>
      </c>
    </row>
    <row r="990" spans="1:8" x14ac:dyDescent="0.2">
      <c r="A990" s="540" t="s">
        <v>741</v>
      </c>
      <c r="C990" s="541">
        <f>HLOOKUP("start",ESLData!E$1:E$9983,MATCH($A990,ESLData!$B$1:$B$9983,0))</f>
        <v>8940.9</v>
      </c>
      <c r="E990" s="541">
        <f>HLOOKUP("start",ESLData!F$1:F$9983,MATCH($A990,ESLData!$B$1:$B$9983,0))</f>
        <v>9500</v>
      </c>
      <c r="G990" s="541">
        <f>HLOOKUP("start",ESLData!H$1:H$9983,MATCH($A990,ESLData!$B$1:$B$9983,0))</f>
        <v>6947.05</v>
      </c>
    </row>
    <row r="991" spans="1:8" x14ac:dyDescent="0.2">
      <c r="A991" s="540" t="s">
        <v>742</v>
      </c>
      <c r="C991" s="541">
        <f>HLOOKUP("start",ESLData!E$1:E$9983,MATCH($A991,ESLData!$B$1:$B$9983,0))</f>
        <v>32159.23</v>
      </c>
      <c r="E991" s="541">
        <f>HLOOKUP("start",ESLData!F$1:F$9983,MATCH($A991,ESLData!$B$1:$B$9983,0))</f>
        <v>33600</v>
      </c>
      <c r="G991" s="541">
        <f>HLOOKUP("start",ESLData!H$1:H$9983,MATCH($A991,ESLData!$B$1:$B$9983,0))</f>
        <v>109300.86</v>
      </c>
    </row>
    <row r="992" spans="1:8" x14ac:dyDescent="0.2">
      <c r="A992" s="540" t="s">
        <v>743</v>
      </c>
      <c r="C992" s="541">
        <f>HLOOKUP("start",ESLData!E$1:E$9983,MATCH($A992,ESLData!$B$1:$B$9983,0))</f>
        <v>5368.52</v>
      </c>
      <c r="E992" s="541">
        <f>HLOOKUP("start",ESLData!F$1:F$9983,MATCH($A992,ESLData!$B$1:$B$9983,0))</f>
        <v>3006</v>
      </c>
      <c r="G992" s="541">
        <f>HLOOKUP("start",ESLData!H$1:H$9983,MATCH($A992,ESLData!$B$1:$B$9983,0))</f>
        <v>5867.25</v>
      </c>
    </row>
    <row r="993" spans="1:7" x14ac:dyDescent="0.2">
      <c r="A993" s="540" t="s">
        <v>744</v>
      </c>
      <c r="C993" s="541">
        <f>HLOOKUP("start",ESLData!E$1:E$9983,MATCH($A993,ESLData!$B$1:$B$9983,0))</f>
        <v>7159.58</v>
      </c>
      <c r="E993" s="541">
        <f>HLOOKUP("start",ESLData!F$1:F$9983,MATCH($A993,ESLData!$B$1:$B$9983,0))</f>
        <v>9300</v>
      </c>
      <c r="G993" s="541">
        <f>HLOOKUP("start",ESLData!H$1:H$9983,MATCH($A993,ESLData!$B$1:$B$9983,0))</f>
        <v>12112.13</v>
      </c>
    </row>
    <row r="994" spans="1:7" x14ac:dyDescent="0.2">
      <c r="A994" s="540" t="s">
        <v>745</v>
      </c>
      <c r="C994" s="541">
        <f>HLOOKUP("start",ESLData!E$1:E$9983,MATCH($A994,ESLData!$B$1:$B$9983,0))</f>
        <v>9447.1299999999992</v>
      </c>
      <c r="E994" s="541">
        <f>HLOOKUP("start",ESLData!F$1:F$9983,MATCH($A994,ESLData!$B$1:$B$9983,0))</f>
        <v>19800</v>
      </c>
      <c r="G994" s="541">
        <f>HLOOKUP("start",ESLData!H$1:H$9983,MATCH($A994,ESLData!$B$1:$B$9983,0))</f>
        <v>31664.76</v>
      </c>
    </row>
    <row r="995" spans="1:7" x14ac:dyDescent="0.2">
      <c r="A995" s="540" t="s">
        <v>746</v>
      </c>
      <c r="C995" s="541">
        <f>HLOOKUP("start",ESLData!E$1:E$9983,MATCH($A995,ESLData!$B$1:$B$9983,0))</f>
        <v>5459.35</v>
      </c>
      <c r="E995" s="541">
        <f>HLOOKUP("start",ESLData!F$1:F$9983,MATCH($A995,ESLData!$B$1:$B$9983,0))</f>
        <v>25400</v>
      </c>
      <c r="G995" s="541">
        <f>HLOOKUP("start",ESLData!H$1:H$9983,MATCH($A995,ESLData!$B$1:$B$9983,0))</f>
        <v>3618.37</v>
      </c>
    </row>
    <row r="996" spans="1:7" x14ac:dyDescent="0.2">
      <c r="A996" s="540" t="s">
        <v>747</v>
      </c>
      <c r="C996" s="541">
        <f>HLOOKUP("start",ESLData!E$1:E$9983,MATCH($A996,ESLData!$B$1:$B$9983,0))</f>
        <v>4492.6099999999997</v>
      </c>
      <c r="E996" s="541">
        <f>HLOOKUP("start",ESLData!F$1:F$9983,MATCH($A996,ESLData!$B$1:$B$9983,0))</f>
        <v>13900</v>
      </c>
      <c r="G996" s="541">
        <f>HLOOKUP("start",ESLData!H$1:H$9983,MATCH($A996,ESLData!$B$1:$B$9983,0))</f>
        <v>6682.86</v>
      </c>
    </row>
    <row r="997" spans="1:7" x14ac:dyDescent="0.2">
      <c r="A997" s="540" t="s">
        <v>748</v>
      </c>
      <c r="C997" s="541">
        <f>HLOOKUP("start",ESLData!E$1:E$9983,MATCH($A997,ESLData!$B$1:$B$9983,0))</f>
        <v>724</v>
      </c>
      <c r="E997" s="541">
        <f>HLOOKUP("start",ESLData!F$1:F$9983,MATCH($A997,ESLData!$B$1:$B$9983,0))</f>
        <v>3487</v>
      </c>
      <c r="G997" s="541">
        <f>HLOOKUP("start",ESLData!H$1:H$9983,MATCH($A997,ESLData!$B$1:$B$9983,0))</f>
        <v>659</v>
      </c>
    </row>
    <row r="998" spans="1:7" x14ac:dyDescent="0.2">
      <c r="A998" s="540" t="s">
        <v>749</v>
      </c>
      <c r="C998" s="541">
        <f>HLOOKUP("start",ESLData!E$1:E$9983,MATCH($A998,ESLData!$B$1:$B$9983,0))</f>
        <v>2434.0700000000002</v>
      </c>
      <c r="E998" s="541">
        <f>HLOOKUP("start",ESLData!F$1:F$9983,MATCH($A998,ESLData!$B$1:$B$9983,0))</f>
        <v>1500</v>
      </c>
      <c r="G998" s="541">
        <f>HLOOKUP("start",ESLData!H$1:H$9983,MATCH($A998,ESLData!$B$1:$B$9983,0))</f>
        <v>533.91</v>
      </c>
    </row>
    <row r="999" spans="1:7" x14ac:dyDescent="0.2">
      <c r="A999" s="540" t="s">
        <v>750</v>
      </c>
      <c r="C999" s="541">
        <f>HLOOKUP("start",ESLData!E$1:E$9983,MATCH($A999,ESLData!$B$1:$B$9983,0))</f>
        <v>1190</v>
      </c>
      <c r="E999" s="541">
        <f>HLOOKUP("start",ESLData!F$1:F$9983,MATCH($A999,ESLData!$B$1:$B$9983,0))</f>
        <v>37000</v>
      </c>
      <c r="G999" s="541">
        <f>HLOOKUP("start",ESLData!H$1:H$9983,MATCH($A999,ESLData!$B$1:$B$9983,0))</f>
        <v>0</v>
      </c>
    </row>
    <row r="1000" spans="1:7" x14ac:dyDescent="0.2">
      <c r="A1000" s="540" t="s">
        <v>751</v>
      </c>
      <c r="C1000" s="541">
        <f>HLOOKUP("start",ESLData!E$1:E$9983,MATCH($A1000,ESLData!$B$1:$B$9983,0))</f>
        <v>217636</v>
      </c>
      <c r="E1000" s="541">
        <f>HLOOKUP("start",ESLData!F$1:F$9983,MATCH($A1000,ESLData!$B$1:$B$9983,0))</f>
        <v>215196</v>
      </c>
      <c r="G1000" s="541">
        <f>HLOOKUP("start",ESLData!H$1:H$9983,MATCH($A1000,ESLData!$B$1:$B$9983,0))</f>
        <v>0</v>
      </c>
    </row>
    <row r="1001" spans="1:7" x14ac:dyDescent="0.2">
      <c r="A1001" s="540" t="s">
        <v>752</v>
      </c>
      <c r="C1001" s="541">
        <f>HLOOKUP("start",ESLData!E$1:E$9983,MATCH($A1001,ESLData!$B$1:$B$9983,0))</f>
        <v>0</v>
      </c>
      <c r="E1001" s="541">
        <f>HLOOKUP("start",ESLData!F$1:F$9983,MATCH($A1001,ESLData!$B$1:$B$9983,0))</f>
        <v>0</v>
      </c>
      <c r="G1001" s="541">
        <f>HLOOKUP("start",ESLData!H$1:H$9983,MATCH($A1001,ESLData!$B$1:$B$9983,0))</f>
        <v>0</v>
      </c>
    </row>
    <row r="1002" spans="1:7" x14ac:dyDescent="0.2">
      <c r="A1002" s="540" t="s">
        <v>754</v>
      </c>
      <c r="C1002" s="541">
        <f>HLOOKUP("start",ESLData!E$1:E$9983,MATCH($A1002,ESLData!$B$1:$B$9983,0))</f>
        <v>1562.61</v>
      </c>
      <c r="E1002" s="541">
        <f>HLOOKUP("start",ESLData!F$1:F$9983,MATCH($A1002,ESLData!$B$1:$B$9983,0))</f>
        <v>3100</v>
      </c>
      <c r="G1002" s="541">
        <f>HLOOKUP("start",ESLData!H$1:H$9983,MATCH($A1002,ESLData!$B$1:$B$9983,0))</f>
        <v>3030</v>
      </c>
    </row>
    <row r="1003" spans="1:7" x14ac:dyDescent="0.2">
      <c r="A1003" s="540" t="s">
        <v>766</v>
      </c>
      <c r="C1003" s="541">
        <f>HLOOKUP("start",ESLData!E$1:E$9983,MATCH($A1003,ESLData!$B$1:$B$9983,0))</f>
        <v>1608.19</v>
      </c>
      <c r="E1003" s="541">
        <f>HLOOKUP("start",ESLData!F$1:F$9983,MATCH($A1003,ESLData!$B$1:$B$9983,0))</f>
        <v>1559</v>
      </c>
      <c r="G1003" s="541">
        <f>HLOOKUP("start",ESLData!H$1:H$9983,MATCH($A1003,ESLData!$B$1:$B$9983,0))</f>
        <v>525</v>
      </c>
    </row>
    <row r="1004" spans="1:7" x14ac:dyDescent="0.2">
      <c r="A1004" s="540" t="s">
        <v>767</v>
      </c>
      <c r="C1004" s="541">
        <f>HLOOKUP("start",ESLData!E$1:E$9983,MATCH($A1004,ESLData!$B$1:$B$9983,0))</f>
        <v>5454.22</v>
      </c>
      <c r="E1004" s="541">
        <f>HLOOKUP("start",ESLData!F$1:F$9983,MATCH($A1004,ESLData!$B$1:$B$9983,0))</f>
        <v>15100</v>
      </c>
      <c r="G1004" s="541">
        <f>HLOOKUP("start",ESLData!H$1:H$9983,MATCH($A1004,ESLData!$B$1:$B$9983,0))</f>
        <v>9917.65</v>
      </c>
    </row>
    <row r="1005" spans="1:7" x14ac:dyDescent="0.2">
      <c r="A1005" s="540" t="s">
        <v>768</v>
      </c>
      <c r="C1005" s="541">
        <f>HLOOKUP("start",ESLData!E$1:E$9983,MATCH($A1005,ESLData!$B$1:$B$9983,0))</f>
        <v>47871.01</v>
      </c>
      <c r="E1005" s="541">
        <f>HLOOKUP("start",ESLData!F$1:F$9983,MATCH($A1005,ESLData!$B$1:$B$9983,0))</f>
        <v>12500</v>
      </c>
      <c r="G1005" s="541">
        <f>HLOOKUP("start",ESLData!H$1:H$9983,MATCH($A1005,ESLData!$B$1:$B$9983,0))</f>
        <v>71620</v>
      </c>
    </row>
    <row r="1006" spans="1:7" x14ac:dyDescent="0.2">
      <c r="A1006" s="540" t="s">
        <v>769</v>
      </c>
      <c r="C1006" s="541">
        <f>HLOOKUP("start",ESLData!E$1:E$9983,MATCH($A1006,ESLData!$B$1:$B$9983,0))</f>
        <v>4457</v>
      </c>
      <c r="E1006" s="541">
        <f>HLOOKUP("start",ESLData!F$1:F$9983,MATCH($A1006,ESLData!$B$1:$B$9983,0))</f>
        <v>31500</v>
      </c>
      <c r="G1006" s="541">
        <f>HLOOKUP("start",ESLData!H$1:H$9983,MATCH($A1006,ESLData!$B$1:$B$9983,0))</f>
        <v>14448.11</v>
      </c>
    </row>
    <row r="1007" spans="1:7" x14ac:dyDescent="0.2">
      <c r="A1007" s="540" t="s">
        <v>770</v>
      </c>
      <c r="C1007" s="541">
        <f>HLOOKUP("start",ESLData!E$1:E$9983,MATCH($A1007,ESLData!$B$1:$B$9983,0))</f>
        <v>20461.23</v>
      </c>
      <c r="E1007" s="541">
        <f>HLOOKUP("start",ESLData!F$1:F$9983,MATCH($A1007,ESLData!$B$1:$B$9983,0))</f>
        <v>11798</v>
      </c>
      <c r="G1007" s="541">
        <f>HLOOKUP("start",ESLData!H$1:H$9983,MATCH($A1007,ESLData!$B$1:$B$9983,0))</f>
        <v>37897.89</v>
      </c>
    </row>
    <row r="1008" spans="1:7" x14ac:dyDescent="0.2">
      <c r="A1008" s="540" t="s">
        <v>771</v>
      </c>
      <c r="C1008" s="541">
        <f>HLOOKUP("start",ESLData!E$1:E$9983,MATCH($A1008,ESLData!$B$1:$B$9983,0))</f>
        <v>-4424.2299999999996</v>
      </c>
      <c r="E1008" s="541">
        <f>HLOOKUP("start",ESLData!F$1:F$9983,MATCH($A1008,ESLData!$B$1:$B$9983,0))</f>
        <v>7300</v>
      </c>
      <c r="G1008" s="541">
        <f>HLOOKUP("start",ESLData!H$1:H$9983,MATCH($A1008,ESLData!$B$1:$B$9983,0))</f>
        <v>24642.94</v>
      </c>
    </row>
    <row r="1009" spans="1:7" x14ac:dyDescent="0.2">
      <c r="A1009" s="540" t="s">
        <v>772</v>
      </c>
      <c r="C1009" s="541">
        <f>HLOOKUP("start",ESLData!E$1:E$9983,MATCH($A1009,ESLData!$B$1:$B$9983,0))</f>
        <v>0</v>
      </c>
      <c r="E1009" s="541">
        <f>HLOOKUP("start",ESLData!F$1:F$9983,MATCH($A1009,ESLData!$B$1:$B$9983,0))</f>
        <v>0</v>
      </c>
      <c r="G1009" s="541">
        <f>HLOOKUP("start",ESLData!H$1:H$9983,MATCH($A1009,ESLData!$B$1:$B$9983,0))</f>
        <v>0</v>
      </c>
    </row>
    <row r="1010" spans="1:7" x14ac:dyDescent="0.2">
      <c r="A1010" s="540" t="s">
        <v>774</v>
      </c>
      <c r="C1010" s="541">
        <f>HLOOKUP("start",ESLData!E$1:E$9983,MATCH($A1010,ESLData!$B$1:$B$9983,0))</f>
        <v>0</v>
      </c>
      <c r="E1010" s="541">
        <f>HLOOKUP("start",ESLData!F$1:F$9983,MATCH($A1010,ESLData!$B$1:$B$9983,0))</f>
        <v>0</v>
      </c>
      <c r="G1010" s="541">
        <f>HLOOKUP("start",ESLData!H$1:H$9983,MATCH($A1010,ESLData!$B$1:$B$9983,0))</f>
        <v>0</v>
      </c>
    </row>
    <row r="1011" spans="1:7" x14ac:dyDescent="0.2">
      <c r="A1011" s="540" t="s">
        <v>776</v>
      </c>
      <c r="C1011" s="541">
        <f>HLOOKUP("start",ESLData!E$1:E$9983,MATCH($A1011,ESLData!$B$1:$B$9983,0))</f>
        <v>1247.48</v>
      </c>
      <c r="E1011" s="541">
        <f>HLOOKUP("start",ESLData!F$1:F$9983,MATCH($A1011,ESLData!$B$1:$B$9983,0))</f>
        <v>4500</v>
      </c>
      <c r="G1011" s="541">
        <f>HLOOKUP("start",ESLData!H$1:H$9983,MATCH($A1011,ESLData!$B$1:$B$9983,0))</f>
        <v>4003.44</v>
      </c>
    </row>
    <row r="1012" spans="1:7" x14ac:dyDescent="0.2">
      <c r="A1012" s="540" t="s">
        <v>777</v>
      </c>
      <c r="C1012" s="541">
        <f>HLOOKUP("start",ESLData!E$1:E$9983,MATCH($A1012,ESLData!$B$1:$B$9983,0))</f>
        <v>7379.35</v>
      </c>
      <c r="E1012" s="541">
        <f>HLOOKUP("start",ESLData!F$1:F$9983,MATCH($A1012,ESLData!$B$1:$B$9983,0))</f>
        <v>10200</v>
      </c>
      <c r="G1012" s="541">
        <f>HLOOKUP("start",ESLData!H$1:H$9983,MATCH($A1012,ESLData!$B$1:$B$9983,0))</f>
        <v>2741.44</v>
      </c>
    </row>
    <row r="1013" spans="1:7" x14ac:dyDescent="0.2">
      <c r="A1013" s="540" t="s">
        <v>237</v>
      </c>
      <c r="C1013" s="541">
        <f>HLOOKUP("start",ESLData!E$1:E$9983,MATCH($A1013,ESLData!$B$1:$B$9983,0))</f>
        <v>4364.33</v>
      </c>
      <c r="E1013" s="541">
        <f>HLOOKUP("start",ESLData!F$1:F$9983,MATCH($A1013,ESLData!$B$1:$B$9983,0))</f>
        <v>3706</v>
      </c>
      <c r="G1013" s="541">
        <f>HLOOKUP("start",ESLData!H$1:H$9983,MATCH($A1013,ESLData!$B$1:$B$9983,0))</f>
        <v>1204.24</v>
      </c>
    </row>
    <row r="1014" spans="1:7" x14ac:dyDescent="0.2">
      <c r="A1014" s="540" t="s">
        <v>238</v>
      </c>
      <c r="C1014" s="541">
        <f>HLOOKUP("start",ESLData!E$1:E$9983,MATCH($A1014,ESLData!$B$1:$B$9983,0))</f>
        <v>6349.11</v>
      </c>
      <c r="E1014" s="541">
        <f>HLOOKUP("start",ESLData!F$1:F$9983,MATCH($A1014,ESLData!$B$1:$B$9983,0))</f>
        <v>28608</v>
      </c>
      <c r="G1014" s="541">
        <f>HLOOKUP("start",ESLData!H$1:H$9983,MATCH($A1014,ESLData!$B$1:$B$9983,0))</f>
        <v>5545.87</v>
      </c>
    </row>
    <row r="1015" spans="1:7" x14ac:dyDescent="0.2">
      <c r="A1015" s="540" t="s">
        <v>779</v>
      </c>
      <c r="C1015" s="541">
        <f>HLOOKUP("start",ESLData!E$1:E$9983,MATCH($A1015,ESLData!$B$1:$B$9983,0))</f>
        <v>0</v>
      </c>
      <c r="E1015" s="541">
        <f>HLOOKUP("start",ESLData!F$1:F$9983,MATCH($A1015,ESLData!$B$1:$B$9983,0))</f>
        <v>0</v>
      </c>
      <c r="G1015" s="541">
        <f>HLOOKUP("start",ESLData!H$1:H$9983,MATCH($A1015,ESLData!$B$1:$B$9983,0))</f>
        <v>0</v>
      </c>
    </row>
    <row r="1016" spans="1:7" x14ac:dyDescent="0.2">
      <c r="A1016" s="540" t="s">
        <v>781</v>
      </c>
      <c r="C1016" s="541">
        <f>HLOOKUP("start",ESLData!E$1:E$9983,MATCH($A1016,ESLData!$B$1:$B$9983,0))</f>
        <v>0</v>
      </c>
      <c r="E1016" s="541">
        <f>HLOOKUP("start",ESLData!F$1:F$9983,MATCH($A1016,ESLData!$B$1:$B$9983,0))</f>
        <v>0</v>
      </c>
      <c r="G1016" s="541">
        <f>HLOOKUP("start",ESLData!H$1:H$9983,MATCH($A1016,ESLData!$B$1:$B$9983,0))</f>
        <v>0</v>
      </c>
    </row>
    <row r="1017" spans="1:7" x14ac:dyDescent="0.2">
      <c r="A1017" s="540" t="s">
        <v>783</v>
      </c>
      <c r="C1017" s="541">
        <f>HLOOKUP("start",ESLData!E$1:E$9983,MATCH($A1017,ESLData!$B$1:$B$9983,0))</f>
        <v>0</v>
      </c>
      <c r="E1017" s="541">
        <f>HLOOKUP("start",ESLData!F$1:F$9983,MATCH($A1017,ESLData!$B$1:$B$9983,0))</f>
        <v>0</v>
      </c>
      <c r="G1017" s="541">
        <f>HLOOKUP("start",ESLData!H$1:H$9983,MATCH($A1017,ESLData!$B$1:$B$9983,0))</f>
        <v>0</v>
      </c>
    </row>
    <row r="1018" spans="1:7" x14ac:dyDescent="0.2">
      <c r="A1018" s="540" t="s">
        <v>785</v>
      </c>
      <c r="C1018" s="541">
        <f>HLOOKUP("start",ESLData!E$1:E$9983,MATCH($A1018,ESLData!$B$1:$B$9983,0))</f>
        <v>0</v>
      </c>
      <c r="E1018" s="541">
        <f>HLOOKUP("start",ESLData!F$1:F$9983,MATCH($A1018,ESLData!$B$1:$B$9983,0))</f>
        <v>0</v>
      </c>
      <c r="G1018" s="541">
        <f>HLOOKUP("start",ESLData!H$1:H$9983,MATCH($A1018,ESLData!$B$1:$B$9983,0))</f>
        <v>0</v>
      </c>
    </row>
    <row r="1019" spans="1:7" x14ac:dyDescent="0.2">
      <c r="A1019" s="540" t="s">
        <v>787</v>
      </c>
      <c r="C1019" s="541">
        <f>HLOOKUP("start",ESLData!E$1:E$9983,MATCH($A1019,ESLData!$B$1:$B$9983,0))</f>
        <v>0</v>
      </c>
      <c r="E1019" s="541">
        <f>HLOOKUP("start",ESLData!F$1:F$9983,MATCH($A1019,ESLData!$B$1:$B$9983,0))</f>
        <v>0</v>
      </c>
      <c r="G1019" s="541">
        <f>HLOOKUP("start",ESLData!H$1:H$9983,MATCH($A1019,ESLData!$B$1:$B$9983,0))</f>
        <v>0</v>
      </c>
    </row>
    <row r="1020" spans="1:7" x14ac:dyDescent="0.2">
      <c r="A1020" s="540" t="s">
        <v>788</v>
      </c>
      <c r="C1020" s="541">
        <f>HLOOKUP("start",ESLData!E$1:E$9983,MATCH($A1020,ESLData!$B$1:$B$9983,0))</f>
        <v>0</v>
      </c>
      <c r="E1020" s="541">
        <f>HLOOKUP("start",ESLData!F$1:F$9983,MATCH($A1020,ESLData!$B$1:$B$9983,0))</f>
        <v>0</v>
      </c>
      <c r="G1020" s="541">
        <f>HLOOKUP("start",ESLData!H$1:H$9983,MATCH($A1020,ESLData!$B$1:$B$9983,0))</f>
        <v>0</v>
      </c>
    </row>
    <row r="1021" spans="1:7" x14ac:dyDescent="0.2">
      <c r="A1021" s="540" t="s">
        <v>789</v>
      </c>
      <c r="C1021" s="541">
        <f>HLOOKUP("start",ESLData!E$1:E$9983,MATCH($A1021,ESLData!$B$1:$B$9983,0))</f>
        <v>0</v>
      </c>
      <c r="E1021" s="541">
        <f>HLOOKUP("start",ESLData!F$1:F$9983,MATCH($A1021,ESLData!$B$1:$B$9983,0))</f>
        <v>0</v>
      </c>
      <c r="G1021" s="541">
        <f>HLOOKUP("start",ESLData!H$1:H$9983,MATCH($A1021,ESLData!$B$1:$B$9983,0))</f>
        <v>0</v>
      </c>
    </row>
    <row r="1022" spans="1:7" x14ac:dyDescent="0.2">
      <c r="A1022" s="540" t="s">
        <v>791</v>
      </c>
      <c r="C1022" s="541">
        <f>HLOOKUP("start",ESLData!E$1:E$9983,MATCH($A1022,ESLData!$B$1:$B$9983,0))</f>
        <v>0</v>
      </c>
      <c r="E1022" s="541">
        <f>HLOOKUP("start",ESLData!F$1:F$9983,MATCH($A1022,ESLData!$B$1:$B$9983,0))</f>
        <v>0</v>
      </c>
      <c r="G1022" s="541">
        <f>HLOOKUP("start",ESLData!H$1:H$9983,MATCH($A1022,ESLData!$B$1:$B$9983,0))</f>
        <v>0</v>
      </c>
    </row>
    <row r="1023" spans="1:7" x14ac:dyDescent="0.2">
      <c r="A1023" s="540" t="s">
        <v>793</v>
      </c>
      <c r="C1023" s="541">
        <f>HLOOKUP("start",ESLData!E$1:E$9983,MATCH($A1023,ESLData!$B$1:$B$9983,0))</f>
        <v>0</v>
      </c>
      <c r="E1023" s="541">
        <f>HLOOKUP("start",ESLData!F$1:F$9983,MATCH($A1023,ESLData!$B$1:$B$9983,0))</f>
        <v>0</v>
      </c>
      <c r="G1023" s="541">
        <f>HLOOKUP("start",ESLData!H$1:H$9983,MATCH($A1023,ESLData!$B$1:$B$9983,0))</f>
        <v>0</v>
      </c>
    </row>
    <row r="1024" spans="1:7" x14ac:dyDescent="0.2">
      <c r="A1024" s="540" t="s">
        <v>795</v>
      </c>
      <c r="C1024" s="541">
        <f>HLOOKUP("start",ESLData!E$1:E$9983,MATCH($A1024,ESLData!$B$1:$B$9983,0))</f>
        <v>123853.84</v>
      </c>
      <c r="E1024" s="541">
        <f>HLOOKUP("start",ESLData!F$1:F$9983,MATCH($A1024,ESLData!$B$1:$B$9983,0))</f>
        <v>518132</v>
      </c>
      <c r="G1024" s="541">
        <f>HLOOKUP("start",ESLData!H$1:H$9983,MATCH($A1024,ESLData!$B$1:$B$9983,0))</f>
        <v>115489.94</v>
      </c>
    </row>
    <row r="1025" spans="1:8" x14ac:dyDescent="0.2">
      <c r="A1025" s="540" t="s">
        <v>797</v>
      </c>
      <c r="C1025" s="541">
        <f>HLOOKUP("start",ESLData!E$1:E$9983,MATCH($A1025,ESLData!$B$1:$B$9983,0))</f>
        <v>0</v>
      </c>
      <c r="E1025" s="541">
        <f>HLOOKUP("start",ESLData!F$1:F$9983,MATCH($A1025,ESLData!$B$1:$B$9983,0))</f>
        <v>0</v>
      </c>
      <c r="G1025" s="541">
        <f>HLOOKUP("start",ESLData!H$1:H$9983,MATCH($A1025,ESLData!$B$1:$B$9983,0))</f>
        <v>0</v>
      </c>
    </row>
    <row r="1026" spans="1:8" x14ac:dyDescent="0.2">
      <c r="A1026" s="540" t="s">
        <v>799</v>
      </c>
      <c r="C1026" s="541">
        <f>HLOOKUP("start",ESLData!E$1:E$9983,MATCH($A1026,ESLData!$B$1:$B$9983,0))</f>
        <v>0</v>
      </c>
      <c r="E1026" s="541">
        <f>HLOOKUP("start",ESLData!F$1:F$9983,MATCH($A1026,ESLData!$B$1:$B$9983,0))</f>
        <v>0</v>
      </c>
      <c r="G1026" s="541">
        <f>HLOOKUP("start",ESLData!H$1:H$9983,MATCH($A1026,ESLData!$B$1:$B$9983,0))</f>
        <v>0</v>
      </c>
    </row>
    <row r="1027" spans="1:8" x14ac:dyDescent="0.2">
      <c r="A1027" s="540" t="s">
        <v>1223</v>
      </c>
      <c r="C1027" s="541">
        <f>HLOOKUP("start",ESLData!E$1:E$9983,MATCH($A1027,ESLData!$B$1:$B$9983,0))</f>
        <v>0</v>
      </c>
      <c r="E1027" s="541">
        <f>HLOOKUP("start",ESLData!F$1:F$9983,MATCH($A1027,ESLData!$B$1:$B$9983,0))</f>
        <v>0</v>
      </c>
      <c r="G1027" s="541">
        <f>HLOOKUP("start",ESLData!H$1:H$9983,MATCH($A1027,ESLData!$B$1:$B$9983,0))</f>
        <v>72440</v>
      </c>
    </row>
    <row r="1028" spans="1:8" x14ac:dyDescent="0.2">
      <c r="A1028" s="540" t="s">
        <v>1224</v>
      </c>
      <c r="C1028" s="541">
        <f>HLOOKUP("start",ESLData!E$1:E$9983,MATCH($A1028,ESLData!$B$1:$B$9983,0))</f>
        <v>43497.53</v>
      </c>
      <c r="E1028" s="541">
        <f>HLOOKUP("start",ESLData!F$1:F$9983,MATCH($A1028,ESLData!$B$1:$B$9983,0))</f>
        <v>0</v>
      </c>
      <c r="G1028" s="541">
        <f>HLOOKUP("start",ESLData!H$1:H$9983,MATCH($A1028,ESLData!$B$1:$B$9983,0))</f>
        <v>46406.13</v>
      </c>
    </row>
    <row r="1029" spans="1:8" x14ac:dyDescent="0.2">
      <c r="A1029" s="540" t="s">
        <v>801</v>
      </c>
      <c r="C1029" s="541">
        <f>HLOOKUP("start",ESLData!E$1:E$9983,MATCH($A1029,ESLData!$B$1:$B$9983,0))</f>
        <v>20748.75</v>
      </c>
      <c r="E1029" s="541">
        <f>HLOOKUP("start",ESLData!F$1:F$9983,MATCH($A1029,ESLData!$B$1:$B$9983,0))</f>
        <v>0</v>
      </c>
      <c r="F1029" s="542">
        <f>SUM(E988:E1029)</f>
        <v>1019692</v>
      </c>
      <c r="G1029" s="541">
        <f>HLOOKUP("start",ESLData!H$1:H$9983,MATCH($A1029,ESLData!$B$1:$B$9983,0))</f>
        <v>0</v>
      </c>
    </row>
    <row r="1030" spans="1:8" x14ac:dyDescent="0.2">
      <c r="A1030" s="540" t="s">
        <v>802</v>
      </c>
      <c r="C1030" s="541">
        <f>HLOOKUP("start",ESLData!E$1:E$9983,MATCH($A1030,ESLData!$B$1:$B$9983,0))</f>
        <v>-395909.16</v>
      </c>
      <c r="D1030" s="542">
        <f>SUM(C987:C1030)</f>
        <v>2641661.3899999992</v>
      </c>
      <c r="E1030" s="541">
        <f>HLOOKUP("start",ESLData!F$1:F$9983,MATCH($A1030,ESLData!$B$1:$B$9983,0))</f>
        <v>-303203</v>
      </c>
      <c r="G1030" s="541">
        <f>HLOOKUP("start",ESLData!H$1:H$9983,MATCH($A1030,ESLData!$B$1:$B$9983,0))</f>
        <v>-372620.19</v>
      </c>
      <c r="H1030" s="542">
        <f>SUM(G987:G1030)</f>
        <v>2464308.6799999992</v>
      </c>
    </row>
    <row r="1031" spans="1:8" x14ac:dyDescent="0.2">
      <c r="A1031" s="538" t="s">
        <v>1066</v>
      </c>
      <c r="C1031" s="541"/>
      <c r="E1031" s="541"/>
      <c r="G1031" s="541"/>
    </row>
    <row r="1032" spans="1:8" x14ac:dyDescent="0.2">
      <c r="A1032" s="540">
        <v>9700</v>
      </c>
      <c r="C1032" s="541">
        <f>HLOOKUP("start",ESLData!E$1:E$9983,MATCH($A1032,ESLData!$B$1:$B$9983,0))*-1</f>
        <v>0</v>
      </c>
      <c r="E1032" s="541">
        <f>HLOOKUP("start",ESLData!F$1:F$9983,MATCH($A1032,ESLData!$B$1:$B$9983,0))*-1</f>
        <v>0</v>
      </c>
      <c r="G1032" s="541">
        <f>HLOOKUP("start",ESLData!H$1:H$9983,MATCH($A1032,ESLData!$B$1:$B$9983,0))*-1</f>
        <v>0</v>
      </c>
    </row>
    <row r="1033" spans="1:8" x14ac:dyDescent="0.2">
      <c r="A1033" s="540">
        <v>9701</v>
      </c>
      <c r="C1033" s="541">
        <f>HLOOKUP("start",ESLData!E$1:E$9983,MATCH($A1033,ESLData!$B$1:$B$9983,0))*-1</f>
        <v>1034</v>
      </c>
      <c r="E1033" s="541">
        <f>HLOOKUP("start",ESLData!F$1:F$9983,MATCH($A1033,ESLData!$B$1:$B$9983,0))*-1</f>
        <v>0</v>
      </c>
      <c r="G1033" s="541">
        <f>HLOOKUP("start",ESLData!H$1:H$9983,MATCH($A1033,ESLData!$B$1:$B$9983,0))*-1</f>
        <v>1034</v>
      </c>
    </row>
    <row r="1034" spans="1:8" x14ac:dyDescent="0.2">
      <c r="A1034" s="540">
        <v>9702</v>
      </c>
      <c r="C1034" s="541">
        <f>HLOOKUP("start",ESLData!E$1:E$9983,MATCH($A1034,ESLData!$B$1:$B$9983,0))*-1</f>
        <v>10391.299999999999</v>
      </c>
      <c r="E1034" s="541">
        <f>HLOOKUP("start",ESLData!F$1:F$9983,MATCH($A1034,ESLData!$B$1:$B$9983,0))*-1</f>
        <v>0</v>
      </c>
      <c r="G1034" s="541">
        <f>HLOOKUP("start",ESLData!H$1:H$9983,MATCH($A1034,ESLData!$B$1:$B$9983,0))*-1</f>
        <v>11891.3</v>
      </c>
    </row>
    <row r="1035" spans="1:8" x14ac:dyDescent="0.2">
      <c r="A1035" s="540">
        <v>9703</v>
      </c>
      <c r="C1035" s="541">
        <f>HLOOKUP("start",ESLData!E$1:E$9983,MATCH($A1035,ESLData!$B$1:$B$9983,0))*-1</f>
        <v>3213</v>
      </c>
      <c r="E1035" s="541">
        <f>HLOOKUP("start",ESLData!F$1:F$9983,MATCH($A1035,ESLData!$B$1:$B$9983,0))*-1</f>
        <v>0</v>
      </c>
      <c r="G1035" s="541">
        <f>HLOOKUP("start",ESLData!H$1:H$9983,MATCH($A1035,ESLData!$B$1:$B$9983,0))*-1</f>
        <v>3213</v>
      </c>
    </row>
    <row r="1036" spans="1:8" x14ac:dyDescent="0.2">
      <c r="A1036" s="540">
        <v>9704</v>
      </c>
      <c r="C1036" s="541">
        <f>HLOOKUP("start",ESLData!E$1:E$9983,MATCH($A1036,ESLData!$B$1:$B$9983,0))*-1</f>
        <v>48500.959999999999</v>
      </c>
      <c r="E1036" s="541">
        <f>HLOOKUP("start",ESLData!F$1:F$9983,MATCH($A1036,ESLData!$B$1:$B$9983,0))*-1</f>
        <v>0</v>
      </c>
      <c r="G1036" s="541">
        <f>HLOOKUP("start",ESLData!H$1:H$9983,MATCH($A1036,ESLData!$B$1:$B$9983,0))*-1</f>
        <v>48500.959999999999</v>
      </c>
    </row>
    <row r="1037" spans="1:8" x14ac:dyDescent="0.2">
      <c r="A1037" s="540">
        <v>9705</v>
      </c>
      <c r="C1037" s="541">
        <f>HLOOKUP("start",ESLData!E$1:E$9983,MATCH($A1037,ESLData!$B$1:$B$9983,0))*-1</f>
        <v>89316</v>
      </c>
      <c r="E1037" s="541">
        <f>HLOOKUP("start",ESLData!F$1:F$9983,MATCH($A1037,ESLData!$B$1:$B$9983,0))*-1</f>
        <v>0</v>
      </c>
      <c r="G1037" s="541">
        <f>HLOOKUP("start",ESLData!H$1:H$9983,MATCH($A1037,ESLData!$B$1:$B$9983,0))*-1</f>
        <v>89316</v>
      </c>
    </row>
    <row r="1038" spans="1:8" x14ac:dyDescent="0.2">
      <c r="A1038" s="540">
        <v>9706</v>
      </c>
      <c r="C1038" s="541">
        <f>HLOOKUP("start",ESLData!E$1:E$9983,MATCH($A1038,ESLData!$B$1:$B$9983,0))*-1</f>
        <v>29477.48</v>
      </c>
      <c r="E1038" s="541">
        <f>HLOOKUP("start",ESLData!F$1:F$9983,MATCH($A1038,ESLData!$B$1:$B$9983,0))*-1</f>
        <v>0</v>
      </c>
      <c r="G1038" s="541">
        <f>HLOOKUP("start",ESLData!H$1:H$9983,MATCH($A1038,ESLData!$B$1:$B$9983,0))*-1</f>
        <v>29477.48</v>
      </c>
    </row>
    <row r="1039" spans="1:8" x14ac:dyDescent="0.2">
      <c r="A1039" s="540">
        <v>9707</v>
      </c>
      <c r="C1039" s="541">
        <f>HLOOKUP("start",ESLData!E$1:E$9983,MATCH($A1039,ESLData!$B$1:$B$9983,0))*-1</f>
        <v>548</v>
      </c>
      <c r="E1039" s="541">
        <f>HLOOKUP("start",ESLData!F$1:F$9983,MATCH($A1039,ESLData!$B$1:$B$9983,0))*-1</f>
        <v>0</v>
      </c>
      <c r="G1039" s="541">
        <f>HLOOKUP("start",ESLData!H$1:H$9983,MATCH($A1039,ESLData!$B$1:$B$9983,0))*-1</f>
        <v>548</v>
      </c>
    </row>
    <row r="1040" spans="1:8" x14ac:dyDescent="0.2">
      <c r="A1040" s="540">
        <v>9708</v>
      </c>
      <c r="C1040" s="541">
        <f>HLOOKUP("start",ESLData!E$1:E$9983,MATCH($A1040,ESLData!$B$1:$B$9983,0))*-1</f>
        <v>4513</v>
      </c>
      <c r="E1040" s="541">
        <f>HLOOKUP("start",ESLData!F$1:F$9983,MATCH($A1040,ESLData!$B$1:$B$9983,0))*-1</f>
        <v>0</v>
      </c>
      <c r="G1040" s="541">
        <f>HLOOKUP("start",ESLData!H$1:H$9983,MATCH($A1040,ESLData!$B$1:$B$9983,0))*-1</f>
        <v>4513</v>
      </c>
    </row>
    <row r="1041" spans="1:8" x14ac:dyDescent="0.2">
      <c r="A1041" s="540">
        <v>9709</v>
      </c>
      <c r="C1041" s="541">
        <f>HLOOKUP("start",ESLData!E$1:E$9983,MATCH($A1041,ESLData!$B$1:$B$9983,0))*-1</f>
        <v>0</v>
      </c>
      <c r="E1041" s="541">
        <f>HLOOKUP("start",ESLData!F$1:F$9983,MATCH($A1041,ESLData!$B$1:$B$9983,0))*-1</f>
        <v>0</v>
      </c>
      <c r="G1041" s="541">
        <f>HLOOKUP("start",ESLData!H$1:H$9983,MATCH($A1041,ESLData!$B$1:$B$9983,0))*-1</f>
        <v>0</v>
      </c>
    </row>
    <row r="1042" spans="1:8" x14ac:dyDescent="0.2">
      <c r="A1042" s="540">
        <v>9710</v>
      </c>
      <c r="C1042" s="541">
        <f>HLOOKUP("start",ESLData!E$1:E$9983,MATCH($A1042,ESLData!$B$1:$B$9983,0))*-1</f>
        <v>2951</v>
      </c>
      <c r="E1042" s="541">
        <f>HLOOKUP("start",ESLData!F$1:F$9983,MATCH($A1042,ESLData!$B$1:$B$9983,0))*-1</f>
        <v>0</v>
      </c>
      <c r="G1042" s="541">
        <f>HLOOKUP("start",ESLData!H$1:H$9983,MATCH($A1042,ESLData!$B$1:$B$9983,0))*-1</f>
        <v>2951</v>
      </c>
    </row>
    <row r="1043" spans="1:8" x14ac:dyDescent="0.2">
      <c r="A1043" s="540">
        <v>9711</v>
      </c>
      <c r="C1043" s="541">
        <f>HLOOKUP("start",ESLData!E$1:E$9983,MATCH($A1043,ESLData!$B$1:$B$9983,0))*-1</f>
        <v>11422</v>
      </c>
      <c r="E1043" s="541">
        <f>HLOOKUP("start",ESLData!F$1:F$9983,MATCH($A1043,ESLData!$B$1:$B$9983,0))*-1</f>
        <v>0</v>
      </c>
      <c r="G1043" s="541">
        <f>HLOOKUP("start",ESLData!H$1:H$9983,MATCH($A1043,ESLData!$B$1:$B$9983,0))*-1</f>
        <v>11422</v>
      </c>
    </row>
    <row r="1044" spans="1:8" x14ac:dyDescent="0.2">
      <c r="A1044" s="540">
        <v>9712</v>
      </c>
      <c r="C1044" s="541">
        <f>HLOOKUP("start",ESLData!E$1:E$9983,MATCH($A1044,ESLData!$B$1:$B$9983,0))*-1</f>
        <v>6661</v>
      </c>
      <c r="D1044" s="542">
        <f>SUM(C1032:C1044)</f>
        <v>208027.74000000002</v>
      </c>
      <c r="E1044" s="541">
        <f>HLOOKUP("start",ESLData!F$1:F$9983,MATCH($A1044,ESLData!$B$1:$B$9983,0))*-1</f>
        <v>0</v>
      </c>
      <c r="G1044" s="541">
        <f>HLOOKUP("start",ESLData!H$1:H$9983,MATCH($A1044,ESLData!$B$1:$B$9983,0))*-1</f>
        <v>6661</v>
      </c>
      <c r="H1044" s="542">
        <f>SUM(G1032:G1044)</f>
        <v>209527.74000000002</v>
      </c>
    </row>
  </sheetData>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I102"/>
  <sheetViews>
    <sheetView topLeftCell="A37" workbookViewId="0">
      <selection activeCell="Q19" sqref="Q19:Q20"/>
    </sheetView>
  </sheetViews>
  <sheetFormatPr defaultRowHeight="12.75" x14ac:dyDescent="0.2"/>
  <cols>
    <col min="3" max="3" width="34.28515625" bestFit="1" customWidth="1"/>
    <col min="5" max="5" width="15.7109375" bestFit="1" customWidth="1"/>
    <col min="6" max="6" width="12.7109375" bestFit="1" customWidth="1"/>
    <col min="8" max="9" width="10.140625" bestFit="1" customWidth="1"/>
  </cols>
  <sheetData>
    <row r="1" spans="1:9" x14ac:dyDescent="0.2">
      <c r="A1" s="1" t="s">
        <v>333</v>
      </c>
    </row>
    <row r="2" spans="1:9" x14ac:dyDescent="0.2">
      <c r="A2" s="1"/>
    </row>
    <row r="3" spans="1:9" x14ac:dyDescent="0.2">
      <c r="C3" t="s">
        <v>335</v>
      </c>
      <c r="D3" t="s">
        <v>336</v>
      </c>
      <c r="E3" t="s">
        <v>601</v>
      </c>
    </row>
    <row r="4" spans="1:9" x14ac:dyDescent="0.2">
      <c r="A4" t="s">
        <v>334</v>
      </c>
      <c r="C4">
        <f>(+ESLData!E21)</f>
        <v>-8755013.5600000005</v>
      </c>
      <c r="D4">
        <f>8384270.3+222080+25068.97+664.02</f>
        <v>8632083.290000001</v>
      </c>
      <c r="E4">
        <f>+C4+D4</f>
        <v>-122930.26999999955</v>
      </c>
      <c r="F4" t="s">
        <v>337</v>
      </c>
    </row>
    <row r="5" spans="1:9" x14ac:dyDescent="0.2">
      <c r="H5" t="s">
        <v>815</v>
      </c>
      <c r="I5" t="s">
        <v>299</v>
      </c>
    </row>
    <row r="6" spans="1:9" x14ac:dyDescent="0.2">
      <c r="A6" t="s">
        <v>338</v>
      </c>
      <c r="C6" s="342">
        <f>SUM(C7:C66)+C4</f>
        <v>3245230.59</v>
      </c>
      <c r="D6">
        <v>3411892.9</v>
      </c>
      <c r="E6" s="342">
        <f>+C6-D6</f>
        <v>-166662.31000000006</v>
      </c>
      <c r="F6" t="s">
        <v>175</v>
      </c>
    </row>
    <row r="7" spans="1:9" x14ac:dyDescent="0.2">
      <c r="A7" s="26">
        <v>24500</v>
      </c>
      <c r="B7" s="8"/>
      <c r="C7" s="341">
        <f>HLOOKUP("start",ESLData!E$1:E$9983,MATCH($A7,ESLData!$B$1:$B$9983,0))</f>
        <v>1397.65</v>
      </c>
      <c r="H7" s="341">
        <f>HLOOKUP("start",[3]ESLData!F$1:F$9983,MATCH($A7,[3]ESLData!$B$1:$B$9983,0))</f>
        <v>7148</v>
      </c>
      <c r="I7" s="341">
        <f>HLOOKUP("start",[3]ESLData!H$1:H$9983,MATCH($A7,[3]ESLData!$B$1:$B$9983,0))</f>
        <v>21817.97</v>
      </c>
    </row>
    <row r="8" spans="1:9" x14ac:dyDescent="0.2">
      <c r="A8" s="26">
        <v>24650</v>
      </c>
      <c r="B8" s="8"/>
      <c r="C8" s="341">
        <f>HLOOKUP("start",ESLData!E$1:E$9983,MATCH($A8,ESLData!$B$1:$B$9983,0))</f>
        <v>2718.63</v>
      </c>
      <c r="H8" s="341"/>
      <c r="I8" s="341"/>
    </row>
    <row r="9" spans="1:9" x14ac:dyDescent="0.2">
      <c r="A9" s="26">
        <v>24831</v>
      </c>
      <c r="B9" s="8"/>
      <c r="C9" s="341">
        <f>HLOOKUP("start",ESLData!E$1:E$9983,MATCH($A9,ESLData!$B$1:$B$9983,0))</f>
        <v>15187.3</v>
      </c>
      <c r="H9" s="341">
        <f>HLOOKUP("start",[3]ESLData!F$1:F$9983,MATCH($A9,[3]ESLData!$B$1:$B$9983,0))</f>
        <v>14295</v>
      </c>
      <c r="I9" s="341">
        <f>HLOOKUP("start",[3]ESLData!H$1:H$9983,MATCH($A9,[3]ESLData!$B$1:$B$9983,0))</f>
        <v>17367.91</v>
      </c>
    </row>
    <row r="10" spans="1:9" x14ac:dyDescent="0.2">
      <c r="A10" s="26">
        <v>24861</v>
      </c>
      <c r="B10" s="8"/>
      <c r="C10" s="341">
        <f>HLOOKUP("start",ESLData!E$1:E$9983,MATCH($A10,ESLData!$B$1:$B$9983,0))</f>
        <v>14821.66</v>
      </c>
      <c r="H10" s="341">
        <f>HLOOKUP("start",[3]ESLData!F$1:F$9983,MATCH($A10,[3]ESLData!$B$1:$B$9983,0))</f>
        <v>0</v>
      </c>
      <c r="I10" s="341">
        <f>HLOOKUP("start",[3]ESLData!H$1:H$9983,MATCH($A10,[3]ESLData!$B$1:$B$9983,0))</f>
        <v>2554.87</v>
      </c>
    </row>
    <row r="11" spans="1:9" x14ac:dyDescent="0.2">
      <c r="A11" s="26">
        <v>24881</v>
      </c>
      <c r="B11" s="8"/>
      <c r="C11" s="341">
        <f>HLOOKUP("start",ESLData!E$1:E$9983,MATCH($A11,ESLData!$B$1:$B$9983,0))</f>
        <v>13248.84</v>
      </c>
      <c r="H11" s="341">
        <f>HLOOKUP("start",[3]ESLData!F$1:F$9983,MATCH($A11,[3]ESLData!$B$1:$B$9983,0))</f>
        <v>14295</v>
      </c>
      <c r="I11" s="341">
        <f>HLOOKUP("start",[3]ESLData!H$1:H$9983,MATCH($A11,[3]ESLData!$B$1:$B$9983,0))</f>
        <v>10763.69</v>
      </c>
    </row>
    <row r="12" spans="1:9" x14ac:dyDescent="0.2">
      <c r="A12" s="26">
        <v>24891</v>
      </c>
      <c r="B12" s="8"/>
      <c r="C12" s="341">
        <f>HLOOKUP("start",ESLData!E$1:E$9983,MATCH($A12,ESLData!$B$1:$B$9983,0))</f>
        <v>14522.72</v>
      </c>
      <c r="H12" s="341">
        <f>HLOOKUP("start",[3]ESLData!F$1:F$9983,MATCH($A12,[3]ESLData!$B$1:$B$9983,0))</f>
        <v>12734</v>
      </c>
      <c r="I12" s="341">
        <f>HLOOKUP("start",[3]ESLData!H$1:H$9983,MATCH($A12,[3]ESLData!$B$1:$B$9983,0))</f>
        <v>15412.33</v>
      </c>
    </row>
    <row r="13" spans="1:9" x14ac:dyDescent="0.2">
      <c r="A13" s="26">
        <v>24901</v>
      </c>
      <c r="B13" s="8"/>
      <c r="C13" s="341">
        <f>HLOOKUP("start",ESLData!E$1:E$9983,MATCH($A13,ESLData!$B$1:$B$9983,0))</f>
        <v>25545.62</v>
      </c>
      <c r="H13" s="341">
        <f>HLOOKUP("start",[3]ESLData!F$1:F$9983,MATCH($A13,[3]ESLData!$B$1:$B$9983,0))</f>
        <v>15091</v>
      </c>
      <c r="I13" s="341">
        <f>HLOOKUP("start",[3]ESLData!H$1:H$9983,MATCH($A13,[3]ESLData!$B$1:$B$9983,0))</f>
        <v>20363.47</v>
      </c>
    </row>
    <row r="14" spans="1:9" x14ac:dyDescent="0.2">
      <c r="A14" s="26">
        <v>30330</v>
      </c>
      <c r="B14" s="8"/>
      <c r="C14" s="341">
        <f>HLOOKUP("start",ESLData!E$1:E$9983,MATCH($A14,ESLData!$B$1:$B$9983,0))</f>
        <v>27123.79</v>
      </c>
      <c r="H14" s="341">
        <f>HLOOKUP("start",[3]ESLData!F$1:F$9983,MATCH($A14,[3]ESLData!$B$1:$B$9983,0))</f>
        <v>26213</v>
      </c>
      <c r="I14" s="341">
        <f>HLOOKUP("start",[3]ESLData!H$1:H$9983,MATCH($A14,[3]ESLData!$B$1:$B$9983,0))</f>
        <v>55039.65</v>
      </c>
    </row>
    <row r="15" spans="1:9" x14ac:dyDescent="0.2">
      <c r="A15" s="26">
        <v>30350</v>
      </c>
      <c r="B15" s="8"/>
      <c r="C15" s="341">
        <f>HLOOKUP("start",ESLData!E$1:E$9983,MATCH($A15,ESLData!$B$1:$B$9983,0))</f>
        <v>17336.009999999998</v>
      </c>
      <c r="H15" s="341">
        <f>HLOOKUP("start",[3]ESLData!F$1:F$9983,MATCH($A15,[3]ESLData!$B$1:$B$9983,0))</f>
        <v>36632</v>
      </c>
      <c r="I15" s="341">
        <f>HLOOKUP("start",[3]ESLData!H$1:H$9983,MATCH($A15,[3]ESLData!$B$1:$B$9983,0))</f>
        <v>33981.919999999998</v>
      </c>
    </row>
    <row r="16" spans="1:9" x14ac:dyDescent="0.2">
      <c r="A16" s="26">
        <v>30385</v>
      </c>
      <c r="B16" s="8"/>
      <c r="C16" s="341">
        <f>HLOOKUP("start",ESLData!E$1:E$9983,MATCH($A16,ESLData!$B$1:$B$9983,0))</f>
        <v>2671.86</v>
      </c>
      <c r="H16" s="341">
        <f>HLOOKUP("start",[3]ESLData!F$1:F$9983,MATCH($A16,[3]ESLData!$B$1:$B$9983,0))</f>
        <v>0</v>
      </c>
      <c r="I16" s="341">
        <f>HLOOKUP("start",[3]ESLData!H$1:H$9983,MATCH($A16,[3]ESLData!$B$1:$B$9983,0))</f>
        <v>0</v>
      </c>
    </row>
    <row r="17" spans="1:9" x14ac:dyDescent="0.2">
      <c r="A17" s="26">
        <v>30390</v>
      </c>
      <c r="B17" s="8"/>
      <c r="C17" s="341">
        <f>HLOOKUP("start",ESLData!E$1:E$9983,MATCH($A17,ESLData!$B$1:$B$9983,0))</f>
        <v>21269.98</v>
      </c>
      <c r="H17" s="341">
        <f>HLOOKUP("start",[3]ESLData!F$1:F$9983,MATCH($A17,[3]ESLData!$B$1:$B$9983,0))</f>
        <v>18896</v>
      </c>
      <c r="I17" s="341">
        <f>HLOOKUP("start",[3]ESLData!H$1:H$9983,MATCH($A17,[3]ESLData!$B$1:$B$9983,0))</f>
        <v>16880.91</v>
      </c>
    </row>
    <row r="18" spans="1:9" x14ac:dyDescent="0.2">
      <c r="A18" s="26">
        <v>32040</v>
      </c>
      <c r="B18" s="8"/>
      <c r="C18" s="341">
        <f>HLOOKUP("start",ESLData!E$1:E$9983,MATCH($A18,ESLData!$B$1:$B$9983,0))</f>
        <v>0</v>
      </c>
      <c r="H18" s="341">
        <f>HLOOKUP("start",[3]ESLData!F$1:F$9983,MATCH($A18,[3]ESLData!$B$1:$B$9983,0))</f>
        <v>0</v>
      </c>
      <c r="I18" s="341">
        <f>HLOOKUP("start",[3]ESLData!H$1:H$9983,MATCH($A18,[3]ESLData!$B$1:$B$9983,0))</f>
        <v>4.66</v>
      </c>
    </row>
    <row r="19" spans="1:9" x14ac:dyDescent="0.2">
      <c r="A19" s="26">
        <v>33010</v>
      </c>
      <c r="B19" s="8"/>
      <c r="C19" s="341">
        <f>HLOOKUP("start",ESLData!E$1:E$9983,MATCH($A19,ESLData!$B$1:$B$9983,0))</f>
        <v>218243.33</v>
      </c>
      <c r="H19" s="341">
        <f>HLOOKUP("start",[3]ESLData!F$1:F$9983,MATCH($A19,[3]ESLData!$B$1:$B$9983,0))</f>
        <v>260239</v>
      </c>
      <c r="I19" s="341">
        <f>HLOOKUP("start",[3]ESLData!H$1:H$9983,MATCH($A19,[3]ESLData!$B$1:$B$9983,0))</f>
        <v>197138.61</v>
      </c>
    </row>
    <row r="20" spans="1:9" x14ac:dyDescent="0.2">
      <c r="A20" s="26">
        <v>33285</v>
      </c>
      <c r="B20" s="8"/>
      <c r="C20" s="341">
        <f>HLOOKUP("start",ESLData!E$1:E$9983,MATCH($A20,ESLData!$B$1:$B$9983,0))</f>
        <v>6265.61</v>
      </c>
      <c r="H20" s="341">
        <f>HLOOKUP("start",[3]ESLData!F$1:F$9983,MATCH($A20,[3]ESLData!$B$1:$B$9983,0))</f>
        <v>7420</v>
      </c>
      <c r="I20" s="341">
        <f>HLOOKUP("start",[3]ESLData!H$1:H$9983,MATCH($A20,[3]ESLData!$B$1:$B$9983,0))</f>
        <v>6901.96</v>
      </c>
    </row>
    <row r="21" spans="1:9" x14ac:dyDescent="0.2">
      <c r="A21" s="26">
        <v>33500</v>
      </c>
      <c r="B21" s="8"/>
      <c r="C21" s="341">
        <f>HLOOKUP("start",ESLData!E$1:E$9983,MATCH($A21,ESLData!$B$1:$B$9983,0))</f>
        <v>6519.59</v>
      </c>
      <c r="H21" s="341">
        <f>HLOOKUP("start",[3]ESLData!F$1:F$9983,MATCH($A21,[3]ESLData!$B$1:$B$9983,0))</f>
        <v>20500</v>
      </c>
      <c r="I21" s="341">
        <f>HLOOKUP("start",[3]ESLData!H$1:H$9983,MATCH($A21,[3]ESLData!$B$1:$B$9983,0))</f>
        <v>5137.8999999999996</v>
      </c>
    </row>
    <row r="22" spans="1:9" x14ac:dyDescent="0.2">
      <c r="A22" s="26">
        <v>33520</v>
      </c>
      <c r="B22" s="8"/>
      <c r="C22" s="341">
        <f>HLOOKUP("start",ESLData!E$1:E$9983,MATCH($A22,ESLData!$B$1:$B$9983,0))</f>
        <v>4713.0200000000004</v>
      </c>
      <c r="H22" s="341">
        <f>HLOOKUP("start",[3]ESLData!F$1:F$9983,MATCH($A22,[3]ESLData!$B$1:$B$9983,0))</f>
        <v>5000</v>
      </c>
      <c r="I22" s="341">
        <f>HLOOKUP("start",[3]ESLData!H$1:H$9983,MATCH($A22,[3]ESLData!$B$1:$B$9983,0))</f>
        <v>3535.55</v>
      </c>
    </row>
    <row r="23" spans="1:9" x14ac:dyDescent="0.2">
      <c r="A23" s="26">
        <v>33525</v>
      </c>
      <c r="B23" s="8"/>
      <c r="C23" s="341">
        <f>HLOOKUP("start",ESLData!E$1:E$9983,MATCH($A23,ESLData!$B$1:$B$9983,0))</f>
        <v>41139.94</v>
      </c>
      <c r="H23" s="341">
        <f>HLOOKUP("start",[3]ESLData!F$1:F$9983,MATCH($A23,[3]ESLData!$B$1:$B$9983,0))</f>
        <v>41860</v>
      </c>
      <c r="I23" s="341">
        <f>HLOOKUP("start",[3]ESLData!H$1:H$9983,MATCH($A23,[3]ESLData!$B$1:$B$9983,0))</f>
        <v>40907.57</v>
      </c>
    </row>
    <row r="24" spans="1:9" x14ac:dyDescent="0.2">
      <c r="A24" s="10">
        <v>33550</v>
      </c>
      <c r="B24" s="8"/>
      <c r="C24" s="341">
        <f>HLOOKUP("start",ESLData!E$1:E$9983,MATCH($A24,ESLData!$B$1:$B$9983,0))</f>
        <v>-77.38</v>
      </c>
      <c r="H24" s="341">
        <f>HLOOKUP("start",[3]ESLData!F$1:F$9983,MATCH($A24,[3]ESLData!$B$1:$B$9983,0))</f>
        <v>12208</v>
      </c>
      <c r="I24" s="341">
        <f>HLOOKUP("start",[3]ESLData!H$1:H$9983,MATCH($A24,[3]ESLData!$B$1:$B$9983,0))</f>
        <v>14553.57</v>
      </c>
    </row>
    <row r="25" spans="1:9" x14ac:dyDescent="0.2">
      <c r="A25" s="10">
        <v>34700</v>
      </c>
      <c r="B25" s="8"/>
      <c r="C25" s="341">
        <f>HLOOKUP("start",ESLData!E$1:E$9983,MATCH($A25,ESLData!$B$1:$B$9983,0))</f>
        <v>4562.67</v>
      </c>
      <c r="H25" s="341">
        <f>HLOOKUP("start",[3]ESLData!F$1:F$9983,MATCH($A25,[3]ESLData!$B$1:$B$9983,0))</f>
        <v>4880</v>
      </c>
      <c r="I25" s="341">
        <f>HLOOKUP("start",[3]ESLData!H$1:H$9983,MATCH($A25,[3]ESLData!$B$1:$B$9983,0))</f>
        <v>4060.66</v>
      </c>
    </row>
    <row r="26" spans="1:9" x14ac:dyDescent="0.2">
      <c r="A26" s="10">
        <v>35160</v>
      </c>
      <c r="B26" s="8"/>
      <c r="C26" s="341">
        <f>HLOOKUP("start",ESLData!E$1:E$9983,MATCH($A26,ESLData!$B$1:$B$9983,0))</f>
        <v>4562.05</v>
      </c>
      <c r="H26" s="341">
        <f>HLOOKUP("start",[3]ESLData!F$1:F$9983,MATCH($A26,[3]ESLData!$B$1:$B$9983,0))</f>
        <v>4880</v>
      </c>
      <c r="I26" s="341">
        <f>HLOOKUP("start",[3]ESLData!H$1:H$9983,MATCH($A26,[3]ESLData!$B$1:$B$9983,0))</f>
        <v>4101.5200000000004</v>
      </c>
    </row>
    <row r="27" spans="1:9" x14ac:dyDescent="0.2">
      <c r="A27" s="1">
        <v>35171</v>
      </c>
      <c r="C27" s="341">
        <f>HLOOKUP("start",ESLData!E$1:E$9983,MATCH($A27,ESLData!$B$1:$B$9983,0))</f>
        <v>14075.59</v>
      </c>
      <c r="H27" s="341">
        <f>HLOOKUP("start",[3]ESLData!F$1:F$9983,MATCH($A27,[3]ESLData!$B$1:$B$9983,0))</f>
        <v>15205</v>
      </c>
      <c r="I27" s="341">
        <f>HLOOKUP("start",[3]ESLData!H$1:H$9983,MATCH($A27,[3]ESLData!$B$1:$B$9983,0))</f>
        <v>12209.82</v>
      </c>
    </row>
    <row r="28" spans="1:9" x14ac:dyDescent="0.2">
      <c r="A28" s="1">
        <v>35200</v>
      </c>
      <c r="C28" s="341">
        <f>HLOOKUP("start",ESLData!E$1:E$9983,MATCH($A28,ESLData!$B$1:$B$9983,0))</f>
        <v>18475.41</v>
      </c>
      <c r="H28" s="341">
        <f>HLOOKUP("start",[3]ESLData!F$1:F$9983,MATCH($A28,[3]ESLData!$B$1:$B$9983,0))</f>
        <v>21396</v>
      </c>
      <c r="I28" s="341">
        <f>HLOOKUP("start",[3]ESLData!H$1:H$9983,MATCH($A28,[3]ESLData!$B$1:$B$9983,0))</f>
        <v>17914.72</v>
      </c>
    </row>
    <row r="29" spans="1:9" x14ac:dyDescent="0.2">
      <c r="A29" s="1">
        <v>35400</v>
      </c>
      <c r="C29" s="341">
        <f>HLOOKUP("start",ESLData!E$1:E$9983,MATCH($A29,ESLData!$B$1:$B$9983,0))</f>
        <v>18300.14</v>
      </c>
      <c r="H29" s="341">
        <f>HLOOKUP("start",[3]ESLData!F$1:F$9983,MATCH($A29,[3]ESLData!$B$1:$B$9983,0))</f>
        <v>26960</v>
      </c>
      <c r="I29" s="341">
        <f>HLOOKUP("start",[3]ESLData!H$1:H$9983,MATCH($A29,[3]ESLData!$B$1:$B$9983,0))</f>
        <v>15637.03</v>
      </c>
    </row>
    <row r="30" spans="1:9" x14ac:dyDescent="0.2">
      <c r="A30" s="1">
        <v>35525</v>
      </c>
      <c r="C30" s="341">
        <f>HLOOKUP("start",ESLData!E$1:E$9983,MATCH($A30,ESLData!$B$1:$B$9983,0))</f>
        <v>56090.55</v>
      </c>
      <c r="H30" s="341">
        <f>HLOOKUP("start",[3]ESLData!F$1:F$9983,MATCH($A30,[3]ESLData!$B$1:$B$9983,0))</f>
        <v>190204</v>
      </c>
      <c r="I30" s="341">
        <f>HLOOKUP("start",[3]ESLData!H$1:H$9983,MATCH($A30,[3]ESLData!$B$1:$B$9983,0))</f>
        <v>117459.54</v>
      </c>
    </row>
    <row r="31" spans="1:9" x14ac:dyDescent="0.2">
      <c r="A31" s="1">
        <v>35700</v>
      </c>
      <c r="C31" s="341">
        <f>HLOOKUP("start",ESLData!E$1:E$9983,MATCH($A31,ESLData!$B$1:$B$9983,0))</f>
        <v>21151.13</v>
      </c>
      <c r="H31" s="341">
        <f>HLOOKUP("start",[3]ESLData!F$1:F$9983,MATCH($A31,[3]ESLData!$B$1:$B$9983,0))</f>
        <v>22720</v>
      </c>
      <c r="I31" s="341">
        <f>HLOOKUP("start",[3]ESLData!H$1:H$9983,MATCH($A31,[3]ESLData!$B$1:$B$9983,0))</f>
        <v>20061.87</v>
      </c>
    </row>
    <row r="32" spans="1:9" x14ac:dyDescent="0.2">
      <c r="A32" s="1">
        <v>35800</v>
      </c>
      <c r="C32" s="341">
        <f>HLOOKUP("start",ESLData!E$1:E$9983,MATCH($A32,ESLData!$B$1:$B$9983,0))</f>
        <v>28734.52</v>
      </c>
      <c r="H32" s="341">
        <f>HLOOKUP("start",[3]ESLData!F$1:F$9983,MATCH($A32,[3]ESLData!$B$1:$B$9983,0))</f>
        <v>32292</v>
      </c>
      <c r="I32" s="341">
        <f>HLOOKUP("start",[3]ESLData!H$1:H$9983,MATCH($A32,[3]ESLData!$B$1:$B$9983,0))</f>
        <v>65170.27</v>
      </c>
    </row>
    <row r="33" spans="1:9" x14ac:dyDescent="0.2">
      <c r="A33" s="1">
        <v>35900</v>
      </c>
      <c r="C33" s="341">
        <f>HLOOKUP("start",ESLData!E$1:E$9983,MATCH($A33,ESLData!$B$1:$B$9983,0))</f>
        <v>28747.57</v>
      </c>
      <c r="H33" s="341">
        <f>HLOOKUP("start",[3]ESLData!F$1:F$9983,MATCH($A33,[3]ESLData!$B$1:$B$9983,0))</f>
        <v>38878</v>
      </c>
      <c r="I33" s="341">
        <f>HLOOKUP("start",[3]ESLData!H$1:H$9983,MATCH($A33,[3]ESLData!$B$1:$B$9983,0))</f>
        <v>29035.24</v>
      </c>
    </row>
    <row r="34" spans="1:9" x14ac:dyDescent="0.2">
      <c r="A34" s="1">
        <v>37300</v>
      </c>
      <c r="C34" s="341">
        <f>HLOOKUP("start",ESLData!E$1:E$9983,MATCH($A34,ESLData!$B$1:$B$9983,0))</f>
        <v>254140.95</v>
      </c>
      <c r="H34" s="341">
        <f>HLOOKUP("start",[3]ESLData!F$1:F$9983,MATCH($A34,[3]ESLData!$B$1:$B$9983,0))</f>
        <v>250151</v>
      </c>
      <c r="I34" s="341">
        <f>HLOOKUP("start",[3]ESLData!H$1:H$9983,MATCH($A34,[3]ESLData!$B$1:$B$9983,0))</f>
        <v>265038.81</v>
      </c>
    </row>
    <row r="35" spans="1:9" x14ac:dyDescent="0.2">
      <c r="A35" s="1">
        <v>37305</v>
      </c>
      <c r="C35" s="341">
        <f>HLOOKUP("start",ESLData!E$1:E$9983,MATCH($A35,ESLData!$B$1:$B$9983,0))</f>
        <v>58194.28</v>
      </c>
      <c r="H35" s="341">
        <f>HLOOKUP("start",[3]ESLData!F$1:F$9983,MATCH($A35,[3]ESLData!$B$1:$B$9983,0))</f>
        <v>53392</v>
      </c>
      <c r="I35" s="341">
        <f>HLOOKUP("start",[3]ESLData!H$1:H$9983,MATCH($A35,[3]ESLData!$B$1:$B$9983,0))</f>
        <v>48859.92</v>
      </c>
    </row>
    <row r="36" spans="1:9" x14ac:dyDescent="0.2">
      <c r="A36" s="1">
        <v>37306</v>
      </c>
      <c r="C36" s="341">
        <f>HLOOKUP("start",ESLData!E$1:E$9983,MATCH($A36,ESLData!$B$1:$B$9983,0))</f>
        <v>1586.74</v>
      </c>
      <c r="H36" s="341"/>
      <c r="I36" s="341"/>
    </row>
    <row r="37" spans="1:9" x14ac:dyDescent="0.2">
      <c r="A37" s="1">
        <v>37315</v>
      </c>
      <c r="C37" s="341">
        <f>HLOOKUP("start",ESLData!E$1:E$9983,MATCH($A37,ESLData!$B$1:$B$9983,0))</f>
        <v>0</v>
      </c>
      <c r="H37" s="341"/>
      <c r="I37" s="341"/>
    </row>
    <row r="38" spans="1:9" x14ac:dyDescent="0.2">
      <c r="A38" s="1">
        <v>37400</v>
      </c>
      <c r="C38" s="341">
        <f>HLOOKUP("start",ESLData!E$1:E$9983,MATCH($A38,ESLData!$B$1:$B$9983,0))</f>
        <v>16719.900000000001</v>
      </c>
      <c r="H38" s="341">
        <f>HLOOKUP("start",[3]ESLData!F$1:F$9983,MATCH($A38,[3]ESLData!$B$1:$B$9983,0))</f>
        <v>16960</v>
      </c>
      <c r="I38" s="341">
        <f>HLOOKUP("start",[3]ESLData!H$1:H$9983,MATCH($A38,[3]ESLData!$B$1:$B$9983,0))</f>
        <v>16710.009999999998</v>
      </c>
    </row>
    <row r="39" spans="1:9" x14ac:dyDescent="0.2">
      <c r="A39" s="1">
        <v>37500</v>
      </c>
      <c r="C39" s="341">
        <f>HLOOKUP("start",ESLData!E$1:E$9983,MATCH($A39,ESLData!$B$1:$B$9983,0))</f>
        <v>11795.97</v>
      </c>
      <c r="H39" s="341">
        <f>HLOOKUP("start",[3]ESLData!F$1:F$9983,MATCH($A39,[3]ESLData!$B$1:$B$9983,0))</f>
        <v>13558</v>
      </c>
      <c r="I39" s="341">
        <f>HLOOKUP("start",[3]ESLData!H$1:H$9983,MATCH($A39,[3]ESLData!$B$1:$B$9983,0))</f>
        <v>11121.69</v>
      </c>
    </row>
    <row r="40" spans="1:9" x14ac:dyDescent="0.2">
      <c r="A40" s="1">
        <v>37900</v>
      </c>
      <c r="C40" s="341">
        <f>HLOOKUP("start",ESLData!E$1:E$9983,MATCH($A40,ESLData!$B$1:$B$9983,0))</f>
        <v>0</v>
      </c>
      <c r="H40" s="341"/>
      <c r="I40" s="341"/>
    </row>
    <row r="41" spans="1:9" x14ac:dyDescent="0.2">
      <c r="A41" s="1">
        <v>38220</v>
      </c>
      <c r="C41" s="341">
        <f>HLOOKUP("start",ESLData!E$1:E$9983,MATCH($A41,ESLData!$B$1:$B$9983,0))</f>
        <v>505118.9</v>
      </c>
      <c r="H41" s="341">
        <f>HLOOKUP("start",[3]ESLData!F$1:F$9983,MATCH($A41,[3]ESLData!$B$1:$B$9983,0))</f>
        <v>702326</v>
      </c>
      <c r="I41" s="341">
        <f>HLOOKUP("start",[3]ESLData!H$1:H$9983,MATCH($A41,[3]ESLData!$B$1:$B$9983,0))</f>
        <v>758591.94</v>
      </c>
    </row>
    <row r="42" spans="1:9" x14ac:dyDescent="0.2">
      <c r="A42" s="1">
        <v>38221</v>
      </c>
      <c r="C42" s="341">
        <f>HLOOKUP("start",ESLData!E$1:E$9983,MATCH($A42,ESLData!$B$1:$B$9983,0))</f>
        <v>26361.17</v>
      </c>
      <c r="H42" s="341"/>
      <c r="I42" s="341"/>
    </row>
    <row r="43" spans="1:9" x14ac:dyDescent="0.2">
      <c r="A43" s="1">
        <v>38500</v>
      </c>
      <c r="C43" s="341">
        <f>HLOOKUP("start",ESLData!E$1:E$9983,MATCH($A43,ESLData!$B$1:$B$9983,0))</f>
        <v>48368.58</v>
      </c>
      <c r="H43" s="341">
        <f>HLOOKUP("start",[3]ESLData!F$1:F$9983,MATCH($A43,[3]ESLData!$B$1:$B$9983,0))</f>
        <v>59336</v>
      </c>
      <c r="I43" s="341">
        <f>HLOOKUP("start",[3]ESLData!H$1:H$9983,MATCH($A43,[3]ESLData!$B$1:$B$9983,0))</f>
        <v>49645.98</v>
      </c>
    </row>
    <row r="44" spans="1:9" x14ac:dyDescent="0.2">
      <c r="A44" s="1">
        <v>38700</v>
      </c>
      <c r="C44" s="341">
        <f>HLOOKUP("start",ESLData!E$1:E$9983,MATCH($A44,ESLData!$B$1:$B$9983,0))</f>
        <v>0</v>
      </c>
      <c r="H44" s="341"/>
      <c r="I44" s="341"/>
    </row>
    <row r="45" spans="1:9" x14ac:dyDescent="0.2">
      <c r="A45" s="1">
        <v>38929</v>
      </c>
      <c r="C45" s="341">
        <f>HLOOKUP("start",ESLData!E$1:E$9983,MATCH($A45,ESLData!$B$1:$B$9983,0))</f>
        <v>8397.67</v>
      </c>
      <c r="H45" s="341">
        <f>HLOOKUP("start",[3]ESLData!F$1:F$9983,MATCH($A45,[3]ESLData!$B$1:$B$9983,0))</f>
        <v>53837</v>
      </c>
      <c r="I45" s="341">
        <f>HLOOKUP("start",[3]ESLData!H$1:H$9983,MATCH($A45,[3]ESLData!$B$1:$B$9983,0))</f>
        <v>11448.44</v>
      </c>
    </row>
    <row r="46" spans="1:9" x14ac:dyDescent="0.2">
      <c r="A46" s="1">
        <v>38930</v>
      </c>
      <c r="C46" s="341">
        <f>HLOOKUP("start",ESLData!E$1:E$9983,MATCH($A46,ESLData!$B$1:$B$9983,0))</f>
        <v>167917.95</v>
      </c>
      <c r="H46" s="341">
        <f>HLOOKUP("start",[3]ESLData!F$1:F$9983,MATCH($A46,[3]ESLData!$B$1:$B$9983,0))</f>
        <v>234468</v>
      </c>
      <c r="I46" s="341">
        <f>HLOOKUP("start",[3]ESLData!H$1:H$9983,MATCH($A46,[3]ESLData!$B$1:$B$9983,0))</f>
        <v>151413.03</v>
      </c>
    </row>
    <row r="47" spans="1:9" x14ac:dyDescent="0.2">
      <c r="A47" s="1">
        <v>38940</v>
      </c>
      <c r="C47" s="341">
        <f>HLOOKUP("start",ESLData!E$1:E$9983,MATCH($A47,ESLData!$B$1:$B$9983,0))</f>
        <v>26516.78</v>
      </c>
      <c r="H47" s="341">
        <f>HLOOKUP("start",[3]ESLData!F$1:F$9983,MATCH($A47,[3]ESLData!$B$1:$B$9983,0))</f>
        <v>32431</v>
      </c>
      <c r="I47" s="341">
        <f>HLOOKUP("start",[3]ESLData!H$1:H$9983,MATCH($A47,[3]ESLData!$B$1:$B$9983,0))</f>
        <v>25550.34</v>
      </c>
    </row>
    <row r="48" spans="1:9" x14ac:dyDescent="0.2">
      <c r="A48" s="1">
        <v>39030</v>
      </c>
      <c r="C48" s="341">
        <f>HLOOKUP("start",ESLData!E$1:E$9983,MATCH($A48,ESLData!$B$1:$B$9983,0))</f>
        <v>47496.17</v>
      </c>
      <c r="H48" s="341">
        <f>HLOOKUP("start",[3]ESLData!F$1:F$9983,MATCH($A48,[3]ESLData!$B$1:$B$9983,0))</f>
        <v>49690</v>
      </c>
      <c r="I48" s="341">
        <f>HLOOKUP("start",[3]ESLData!H$1:H$9983,MATCH($A48,[3]ESLData!$B$1:$B$9983,0))</f>
        <v>33594.769999999997</v>
      </c>
    </row>
    <row r="49" spans="1:9" x14ac:dyDescent="0.2">
      <c r="A49" s="1">
        <v>39080</v>
      </c>
      <c r="C49" s="341">
        <f>HLOOKUP("start",ESLData!E$1:E$9983,MATCH($A49,ESLData!$B$1:$B$9983,0))</f>
        <v>78705.56</v>
      </c>
      <c r="H49" s="341">
        <f>HLOOKUP("start",[3]ESLData!F$1:F$9983,MATCH($A49,[3]ESLData!$B$1:$B$9983,0))</f>
        <v>95857</v>
      </c>
      <c r="I49" s="341">
        <f>HLOOKUP("start",[3]ESLData!H$1:H$9983,MATCH($A49,[3]ESLData!$B$1:$B$9983,0))</f>
        <v>89847.26</v>
      </c>
    </row>
    <row r="50" spans="1:9" x14ac:dyDescent="0.2">
      <c r="A50" s="1">
        <v>39130</v>
      </c>
      <c r="C50" s="341">
        <f>HLOOKUP("start",ESLData!E$1:E$9983,MATCH($A50,ESLData!$B$1:$B$9983,0))</f>
        <v>16758.939999999999</v>
      </c>
      <c r="H50" s="341">
        <f>HLOOKUP("start",[3]ESLData!F$1:F$9983,MATCH($A50,[3]ESLData!$B$1:$B$9983,0))</f>
        <v>18950</v>
      </c>
      <c r="I50" s="341">
        <f>HLOOKUP("start",[3]ESLData!H$1:H$9983,MATCH($A50,[3]ESLData!$B$1:$B$9983,0))</f>
        <v>15683.89</v>
      </c>
    </row>
    <row r="51" spans="1:9" x14ac:dyDescent="0.2">
      <c r="A51" s="1">
        <v>39180</v>
      </c>
      <c r="C51" s="341">
        <f>HLOOKUP("start",ESLData!E$1:E$9983,MATCH($A51,ESLData!$B$1:$B$9983,0))</f>
        <v>54289.7</v>
      </c>
      <c r="H51" s="341">
        <f>HLOOKUP("start",[3]ESLData!F$1:F$9983,MATCH($A51,[3]ESLData!$B$1:$B$9983,0))</f>
        <v>52573</v>
      </c>
      <c r="I51" s="341">
        <f>HLOOKUP("start",[3]ESLData!H$1:H$9983,MATCH($A51,[3]ESLData!$B$1:$B$9983,0))</f>
        <v>51804.78</v>
      </c>
    </row>
    <row r="52" spans="1:9" x14ac:dyDescent="0.2">
      <c r="A52" s="1">
        <v>39230</v>
      </c>
      <c r="C52" s="341">
        <f>HLOOKUP("start",ESLData!E$1:E$9983,MATCH($A52,ESLData!$B$1:$B$9983,0))</f>
        <v>25621.97</v>
      </c>
      <c r="H52" s="341">
        <f>HLOOKUP("start",[3]ESLData!F$1:F$9983,MATCH($A52,[3]ESLData!$B$1:$B$9983,0))</f>
        <v>30395</v>
      </c>
      <c r="I52" s="341">
        <f>HLOOKUP("start",[3]ESLData!H$1:H$9983,MATCH($A52,[3]ESLData!$B$1:$B$9983,0))</f>
        <v>27267.16</v>
      </c>
    </row>
    <row r="53" spans="1:9" x14ac:dyDescent="0.2">
      <c r="A53" s="1">
        <v>39280</v>
      </c>
      <c r="C53" s="341">
        <f>HLOOKUP("start",ESLData!E$1:E$9983,MATCH($A53,ESLData!$B$1:$B$9983,0))</f>
        <v>42618.83</v>
      </c>
      <c r="H53" s="341">
        <f>HLOOKUP("start",[3]ESLData!F$1:F$9983,MATCH($A53,[3]ESLData!$B$1:$B$9983,0))</f>
        <v>44777</v>
      </c>
      <c r="I53" s="341">
        <f>HLOOKUP("start",[3]ESLData!H$1:H$9983,MATCH($A53,[3]ESLData!$B$1:$B$9983,0))</f>
        <v>41481.620000000003</v>
      </c>
    </row>
    <row r="54" spans="1:9" x14ac:dyDescent="0.2">
      <c r="A54" s="1">
        <v>39330</v>
      </c>
      <c r="C54" s="341">
        <f>HLOOKUP("start",ESLData!E$1:E$9983,MATCH($A54,ESLData!$B$1:$B$9983,0))</f>
        <v>32212.93</v>
      </c>
      <c r="H54" s="341">
        <f>HLOOKUP("start",[3]ESLData!F$1:F$9983,MATCH($A54,[3]ESLData!$B$1:$B$9983,0))</f>
        <v>35530</v>
      </c>
      <c r="I54" s="341">
        <f>HLOOKUP("start",[3]ESLData!H$1:H$9983,MATCH($A54,[3]ESLData!$B$1:$B$9983,0))</f>
        <v>28170.080000000002</v>
      </c>
    </row>
    <row r="55" spans="1:9" x14ac:dyDescent="0.2">
      <c r="A55" s="1">
        <v>39380</v>
      </c>
      <c r="C55" s="341">
        <f>HLOOKUP("start",ESLData!E$1:E$9983,MATCH($A55,ESLData!$B$1:$B$9983,0))</f>
        <v>32061.69</v>
      </c>
      <c r="H55" s="341">
        <f>HLOOKUP("start",[3]ESLData!F$1:F$9983,MATCH($A55,[3]ESLData!$B$1:$B$9983,0))</f>
        <v>35921</v>
      </c>
      <c r="I55" s="341">
        <f>HLOOKUP("start",[3]ESLData!H$1:H$9983,MATCH($A55,[3]ESLData!$B$1:$B$9983,0))</f>
        <v>30865.38</v>
      </c>
    </row>
    <row r="56" spans="1:9" x14ac:dyDescent="0.2">
      <c r="A56" s="1">
        <v>39500</v>
      </c>
      <c r="C56" s="341">
        <f>HLOOKUP("start",ESLData!E$1:E$9983,MATCH($A56,ESLData!$B$1:$B$9983,0))</f>
        <v>22362.62</v>
      </c>
      <c r="H56" s="341">
        <f>HLOOKUP("start",[3]ESLData!F$1:F$9983,MATCH($A56,[3]ESLData!$B$1:$B$9983,0))</f>
        <v>23220</v>
      </c>
      <c r="I56" s="341">
        <f>HLOOKUP("start",[3]ESLData!H$1:H$9983,MATCH($A56,[3]ESLData!$B$1:$B$9983,0))</f>
        <v>21972.89</v>
      </c>
    </row>
    <row r="57" spans="1:9" x14ac:dyDescent="0.2">
      <c r="A57" s="1">
        <v>46060</v>
      </c>
      <c r="C57" s="341">
        <f>HLOOKUP("start",ESLData!E$1:E$9983,MATCH($A57,ESLData!$B$1:$B$9983,0))</f>
        <v>24948.89</v>
      </c>
      <c r="H57" s="341">
        <f>HLOOKUP("start",[3]ESLData!F$1:F$9983,MATCH($A57,[3]ESLData!$B$1:$B$9983,0))</f>
        <v>22253</v>
      </c>
      <c r="I57" s="341">
        <f>HLOOKUP("start",[3]ESLData!H$1:H$9983,MATCH($A57,[3]ESLData!$B$1:$B$9983,0))</f>
        <v>19061.150000000001</v>
      </c>
    </row>
    <row r="58" spans="1:9" x14ac:dyDescent="0.2">
      <c r="A58" s="25">
        <v>46860</v>
      </c>
      <c r="C58" s="341">
        <f>HLOOKUP("start",ESLData!E$1:E$9983,MATCH($A58,ESLData!$B$1:$B$9983,0))</f>
        <v>214167.1</v>
      </c>
      <c r="H58" s="341">
        <f>HLOOKUP("start",[3]ESLData!F$1:F$9983,MATCH($A58,[3]ESLData!$B$1:$B$9983,0))</f>
        <v>213908</v>
      </c>
      <c r="I58" s="341">
        <f>HLOOKUP("start",[3]ESLData!H$1:H$9983,MATCH($A58,[3]ESLData!$B$1:$B$9983,0))</f>
        <v>207155.17</v>
      </c>
    </row>
    <row r="59" spans="1:9" x14ac:dyDescent="0.2">
      <c r="A59" s="1">
        <v>46888</v>
      </c>
      <c r="C59" s="341">
        <f>HLOOKUP("start",ESLData!E$1:E$9983,MATCH($A59,ESLData!$B$1:$B$9983,0))</f>
        <v>7799.42</v>
      </c>
      <c r="H59" s="341"/>
      <c r="I59" s="341"/>
    </row>
    <row r="60" spans="1:9" x14ac:dyDescent="0.2">
      <c r="A60" s="1">
        <v>57420</v>
      </c>
      <c r="C60" s="341">
        <f>HLOOKUP("start",ESLData!E$1:E$9983,MATCH($A60,ESLData!$B$1:$B$9983,0))</f>
        <v>190696.26</v>
      </c>
      <c r="H60" s="341">
        <f>HLOOKUP("start",[3]ESLData!F$1:F$9983,MATCH($A60,[3]ESLData!$B$1:$B$9983,0))</f>
        <v>197268</v>
      </c>
      <c r="I60" s="341">
        <f>HLOOKUP("start",[3]ESLData!H$1:H$9983,MATCH($A60,[3]ESLData!$B$1:$B$9983,0))</f>
        <v>195065.24</v>
      </c>
    </row>
    <row r="61" spans="1:9" x14ac:dyDescent="0.2">
      <c r="A61" s="1">
        <v>60000</v>
      </c>
      <c r="C61" s="341">
        <f>HLOOKUP("start",ESLData!E$1:E$9983,MATCH($A61,ESLData!$B$1:$B$9983,0))</f>
        <v>582916.18999999994</v>
      </c>
      <c r="H61" s="341">
        <f>HLOOKUP("start",[3]ESLData!F$1:F$9983,MATCH($A61,[3]ESLData!$B$1:$B$9983,0))</f>
        <v>646374</v>
      </c>
      <c r="I61" s="341">
        <f>HLOOKUP("start",[3]ESLData!H$1:H$9983,MATCH($A61,[3]ESLData!$B$1:$B$9983,0))</f>
        <v>560718.11</v>
      </c>
    </row>
    <row r="62" spans="1:9" x14ac:dyDescent="0.2">
      <c r="A62" s="1">
        <v>60250</v>
      </c>
      <c r="C62" s="341">
        <f>HLOOKUP("start",ESLData!E$1:E$9983,MATCH($A62,ESLData!$B$1:$B$9983,0))</f>
        <v>32481.68</v>
      </c>
      <c r="H62" s="341">
        <f>HLOOKUP("start",[3]ESLData!F$1:F$9983,MATCH($A62,[3]ESLData!$B$1:$B$9983,0))</f>
        <v>35618</v>
      </c>
      <c r="I62" s="341">
        <f>HLOOKUP("start",[3]ESLData!H$1:H$9983,MATCH($A62,[3]ESLData!$B$1:$B$9983,0))</f>
        <v>33043.49</v>
      </c>
    </row>
    <row r="63" spans="1:9" x14ac:dyDescent="0.2">
      <c r="A63" s="1">
        <v>63500</v>
      </c>
      <c r="C63" s="341">
        <f>HLOOKUP("start",ESLData!E$1:E$9983,MATCH($A63,ESLData!$B$1:$B$9983,0))</f>
        <v>17677.189999999999</v>
      </c>
      <c r="H63" s="341"/>
      <c r="I63" s="341"/>
    </row>
    <row r="64" spans="1:9" x14ac:dyDescent="0.2">
      <c r="A64" s="1">
        <v>61800</v>
      </c>
      <c r="C64" s="341">
        <f>HLOOKUP("start",ESLData!E$1:E$9983,MATCH($A64,ESLData!$B$1:$B$9983,0))</f>
        <v>5274.12</v>
      </c>
      <c r="H64" s="341">
        <f>HLOOKUP("start",[3]ESLData!F$1:F$9983,MATCH($A64,[3]ESLData!$B$1:$B$9983,0))</f>
        <v>27000</v>
      </c>
      <c r="I64" s="341">
        <f>HLOOKUP("start",[3]ESLData!H$1:H$9983,MATCH($A64,[3]ESLData!$B$1:$B$9983,0))</f>
        <v>5011.6400000000003</v>
      </c>
    </row>
    <row r="65" spans="1:9" x14ac:dyDescent="0.2">
      <c r="A65" s="1">
        <v>62500</v>
      </c>
      <c r="C65" s="341">
        <f>HLOOKUP("start",ESLData!E$1:E$9983,MATCH($A65,ESLData!$B$1:$B$9983,0))</f>
        <v>64428.639999999999</v>
      </c>
      <c r="H65" s="341">
        <f>HLOOKUP("start",[3]ESLData!F$1:F$9983,MATCH($A65,[3]ESLData!$B$1:$B$9983,0))</f>
        <v>80557</v>
      </c>
      <c r="I65" s="341">
        <f>HLOOKUP("start",[3]ESLData!H$1:H$9983,MATCH($A65,[3]ESLData!$B$1:$B$9983,0))</f>
        <v>68876.149999999994</v>
      </c>
    </row>
    <row r="66" spans="1:9" x14ac:dyDescent="0.2">
      <c r="A66" s="1">
        <v>30380</v>
      </c>
      <c r="C66" s="341">
        <f>HLOOKUP("start",ESLData!E$1:E$9983,MATCH($A66,ESLData!$B$1:$B$9983,0))</f>
        <v>8755259.5600000005</v>
      </c>
      <c r="E66" s="342">
        <f>SUM(E6:E65)</f>
        <v>-166662.31000000006</v>
      </c>
      <c r="F66" t="s">
        <v>188</v>
      </c>
      <c r="G66" t="s">
        <v>761</v>
      </c>
      <c r="H66" s="341">
        <f>HLOOKUP("start",[3]ESLData!F$1:F$9983,MATCH($A66,[3]ESLData!$B$1:$B$9983,0))</f>
        <v>8370000</v>
      </c>
      <c r="I66" s="341">
        <f>HLOOKUP("start",[3]ESLData!H$1:H$9983,MATCH($A66,[3]ESLData!$B$1:$B$9983,0))</f>
        <v>8632083.6099999994</v>
      </c>
    </row>
    <row r="67" spans="1:9" x14ac:dyDescent="0.2">
      <c r="C67" s="342">
        <f>SUM(C7:C66)</f>
        <v>12000244.15</v>
      </c>
      <c r="E67" s="25" t="s">
        <v>1284</v>
      </c>
      <c r="H67" s="342">
        <f>SUM(H7:H66)</f>
        <v>12246296</v>
      </c>
      <c r="I67" s="342">
        <f>SUM(I7:I66)</f>
        <v>12148095.76</v>
      </c>
    </row>
    <row r="68" spans="1:9" x14ac:dyDescent="0.2">
      <c r="C68" s="342"/>
      <c r="E68" s="25"/>
      <c r="H68" s="342"/>
      <c r="I68" s="342"/>
    </row>
    <row r="69" spans="1:9" x14ac:dyDescent="0.2">
      <c r="C69" s="342"/>
      <c r="E69" s="25"/>
      <c r="H69" s="342"/>
      <c r="I69" s="342"/>
    </row>
    <row r="70" spans="1:9" x14ac:dyDescent="0.2">
      <c r="A70" t="s">
        <v>339</v>
      </c>
      <c r="C70" s="5">
        <f>+Notes!F51</f>
        <v>8823803.6300000008</v>
      </c>
    </row>
    <row r="71" spans="1:9" x14ac:dyDescent="0.2">
      <c r="A71" t="s">
        <v>340</v>
      </c>
      <c r="C71" s="5">
        <f>+Notes!F71</f>
        <v>231142.35000000003</v>
      </c>
      <c r="E71" s="25" t="s">
        <v>1285</v>
      </c>
    </row>
    <row r="72" spans="1:9" x14ac:dyDescent="0.2">
      <c r="A72" t="s">
        <v>341</v>
      </c>
      <c r="C72" s="5">
        <f>+Notes!F89</f>
        <v>191294.17</v>
      </c>
    </row>
    <row r="73" spans="1:9" x14ac:dyDescent="0.2">
      <c r="A73" t="s">
        <v>905</v>
      </c>
      <c r="C73" s="5">
        <f>+Notes!F105</f>
        <v>492591.35000000003</v>
      </c>
    </row>
    <row r="74" spans="1:9" x14ac:dyDescent="0.2">
      <c r="A74" t="s">
        <v>342</v>
      </c>
      <c r="C74" s="5">
        <f>+Notes!F122</f>
        <v>348888.72</v>
      </c>
    </row>
    <row r="75" spans="1:9" x14ac:dyDescent="0.2">
      <c r="A75" t="s">
        <v>344</v>
      </c>
      <c r="C75" s="5">
        <f>+Notes!F133</f>
        <v>225655.90999999997</v>
      </c>
    </row>
    <row r="76" spans="1:9" x14ac:dyDescent="0.2">
      <c r="A76" t="s">
        <v>345</v>
      </c>
      <c r="C76" s="5">
        <f>+Notes!F138</f>
        <v>52372.55</v>
      </c>
    </row>
    <row r="77" spans="1:9" x14ac:dyDescent="0.2">
      <c r="A77" t="s">
        <v>918</v>
      </c>
      <c r="C77" s="5">
        <f>+Notes!F152</f>
        <v>538010.83000000007</v>
      </c>
    </row>
    <row r="78" spans="1:9" x14ac:dyDescent="0.2">
      <c r="A78" t="s">
        <v>343</v>
      </c>
      <c r="C78" s="342">
        <f>SUM(C7:C13)</f>
        <v>87442.42</v>
      </c>
    </row>
    <row r="79" spans="1:9" x14ac:dyDescent="0.2">
      <c r="C79" s="342"/>
      <c r="D79" t="s">
        <v>348</v>
      </c>
    </row>
    <row r="80" spans="1:9" x14ac:dyDescent="0.2">
      <c r="C80" s="5">
        <f>SUM(C70:C78)</f>
        <v>10991201.930000002</v>
      </c>
      <c r="D80">
        <f>+D4+D6</f>
        <v>12043976.190000001</v>
      </c>
      <c r="E80" s="177">
        <f>+C80-D80</f>
        <v>-1052774.2599999998</v>
      </c>
    </row>
    <row r="81" spans="3:6" x14ac:dyDescent="0.2">
      <c r="E81" s="177">
        <f>+C43+C25</f>
        <v>52931.25</v>
      </c>
      <c r="F81" t="s">
        <v>184</v>
      </c>
    </row>
    <row r="82" spans="3:6" x14ac:dyDescent="0.2">
      <c r="E82" s="177">
        <f>+C46+C47+C45</f>
        <v>202832.40000000002</v>
      </c>
      <c r="F82" t="s">
        <v>185</v>
      </c>
    </row>
    <row r="83" spans="3:6" x14ac:dyDescent="0.2">
      <c r="E83" s="177">
        <f>+C18</f>
        <v>0</v>
      </c>
      <c r="F83" t="s">
        <v>176</v>
      </c>
    </row>
    <row r="84" spans="3:6" x14ac:dyDescent="0.2">
      <c r="E84" s="177">
        <f>+C39</f>
        <v>11795.97</v>
      </c>
      <c r="F84" t="s">
        <v>346</v>
      </c>
    </row>
    <row r="85" spans="3:6" x14ac:dyDescent="0.2">
      <c r="E85" s="177">
        <f>+C27+C30+C33+C61+C26+C62</f>
        <v>718873.63</v>
      </c>
      <c r="F85" t="s">
        <v>186</v>
      </c>
    </row>
    <row r="86" spans="3:6" x14ac:dyDescent="0.2">
      <c r="E86" s="177">
        <f>+C64</f>
        <v>5274.12</v>
      </c>
      <c r="F86" t="s">
        <v>187</v>
      </c>
    </row>
    <row r="87" spans="3:6" hidden="1" x14ac:dyDescent="0.2">
      <c r="E87" s="177">
        <v>0</v>
      </c>
      <c r="F87" t="s">
        <v>347</v>
      </c>
    </row>
    <row r="88" spans="3:6" hidden="1" x14ac:dyDescent="0.2">
      <c r="E88" s="177">
        <v>0</v>
      </c>
      <c r="F88" t="s">
        <v>1286</v>
      </c>
    </row>
    <row r="89" spans="3:6" x14ac:dyDescent="0.2">
      <c r="E89" s="345">
        <f>SUM(E80:E88)</f>
        <v>-61066.889999999774</v>
      </c>
    </row>
    <row r="90" spans="3:6" x14ac:dyDescent="0.2">
      <c r="C90" s="25" t="s">
        <v>1282</v>
      </c>
      <c r="E90">
        <f>-'Codes allocation'!C239</f>
        <v>-198.63</v>
      </c>
      <c r="F90">
        <v>46861</v>
      </c>
    </row>
    <row r="91" spans="3:6" x14ac:dyDescent="0.2">
      <c r="C91" t="s">
        <v>168</v>
      </c>
      <c r="E91" s="8">
        <v>-7574</v>
      </c>
      <c r="F91">
        <v>46060</v>
      </c>
    </row>
    <row r="92" spans="3:6" x14ac:dyDescent="0.2">
      <c r="C92" t="s">
        <v>169</v>
      </c>
      <c r="E92">
        <f>-'Codes allocation'!C240-'Codes allocation'!C236-'Codes allocation'!C237-'Codes allocation'!C241-'Codes allocation'!C243</f>
        <v>-21605.23</v>
      </c>
      <c r="F92" s="482" t="s">
        <v>170</v>
      </c>
    </row>
    <row r="93" spans="3:6" x14ac:dyDescent="0.2">
      <c r="C93" t="s">
        <v>172</v>
      </c>
      <c r="E93">
        <f>-'Codes allocation'!C283-'Codes allocation'!C284</f>
        <v>-105268.98999999999</v>
      </c>
      <c r="F93" s="470" t="s">
        <v>171</v>
      </c>
    </row>
    <row r="94" spans="3:6" x14ac:dyDescent="0.2">
      <c r="C94" t="s">
        <v>173</v>
      </c>
      <c r="E94">
        <f>-'Codes allocation'!C493-'Codes allocation'!C499-'Codes allocation'!C501</f>
        <v>-30785.85</v>
      </c>
      <c r="F94" s="470" t="s">
        <v>174</v>
      </c>
    </row>
    <row r="95" spans="3:6" x14ac:dyDescent="0.2">
      <c r="C95" t="s">
        <v>178</v>
      </c>
      <c r="E95">
        <f>-'Codes allocation'!C738-'Codes allocation'!C740</f>
        <v>0</v>
      </c>
      <c r="F95" s="470" t="s">
        <v>177</v>
      </c>
    </row>
    <row r="96" spans="3:6" x14ac:dyDescent="0.2">
      <c r="C96" t="s">
        <v>179</v>
      </c>
      <c r="E96">
        <f>-'Codes allocation'!C762</f>
        <v>-1232.82</v>
      </c>
      <c r="F96" s="470">
        <v>33070</v>
      </c>
    </row>
    <row r="97" spans="3:6" x14ac:dyDescent="0.2">
      <c r="C97" t="s">
        <v>180</v>
      </c>
      <c r="E97">
        <f>-'Codes allocation'!C792-'Codes allocation'!C793</f>
        <v>0</v>
      </c>
      <c r="F97" s="470" t="s">
        <v>181</v>
      </c>
    </row>
    <row r="98" spans="3:6" x14ac:dyDescent="0.2">
      <c r="E98" s="8">
        <v>-10679</v>
      </c>
      <c r="F98" s="526" t="s">
        <v>1287</v>
      </c>
    </row>
    <row r="99" spans="3:6" x14ac:dyDescent="0.2">
      <c r="C99" t="s">
        <v>182</v>
      </c>
      <c r="E99">
        <f>-'Codes allocation'!C827-'Codes allocation'!C828-'Codes allocation'!C829</f>
        <v>-318.39000000000004</v>
      </c>
      <c r="F99" s="470" t="s">
        <v>183</v>
      </c>
    </row>
    <row r="100" spans="3:6" x14ac:dyDescent="0.2">
      <c r="E100" s="5">
        <f>SUM(E89:E99)</f>
        <v>-238729.79999999978</v>
      </c>
      <c r="F100" t="s">
        <v>189</v>
      </c>
    </row>
    <row r="102" spans="3:6" x14ac:dyDescent="0.2">
      <c r="E102" s="177"/>
    </row>
  </sheetData>
  <phoneticPr fontId="65" type="noConversion"/>
  <pageMargins left="0.75" right="0.75" top="1" bottom="1"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Q1016"/>
  <sheetViews>
    <sheetView topLeftCell="A10" zoomScaleNormal="100" workbookViewId="0">
      <selection activeCell="L901" sqref="L901"/>
    </sheetView>
  </sheetViews>
  <sheetFormatPr defaultRowHeight="12.75" x14ac:dyDescent="0.2"/>
  <cols>
    <col min="3" max="3" width="31" customWidth="1"/>
    <col min="5" max="5" width="9.140625" style="8"/>
  </cols>
  <sheetData>
    <row r="1" spans="1:17" x14ac:dyDescent="0.2">
      <c r="A1" t="s">
        <v>22</v>
      </c>
      <c r="B1" t="s">
        <v>865</v>
      </c>
      <c r="C1" t="s">
        <v>1058</v>
      </c>
      <c r="D1" t="s">
        <v>1337</v>
      </c>
      <c r="E1" s="8" t="s">
        <v>1338</v>
      </c>
      <c r="F1" t="s">
        <v>815</v>
      </c>
      <c r="G1" t="s">
        <v>1339</v>
      </c>
      <c r="H1" t="s">
        <v>1340</v>
      </c>
    </row>
    <row r="2" spans="1:17" x14ac:dyDescent="0.2">
      <c r="A2">
        <v>952</v>
      </c>
      <c r="B2">
        <v>100</v>
      </c>
      <c r="C2" t="s">
        <v>1193</v>
      </c>
      <c r="D2">
        <v>0</v>
      </c>
      <c r="E2" s="8">
        <v>0</v>
      </c>
      <c r="F2">
        <v>0</v>
      </c>
      <c r="G2">
        <v>0</v>
      </c>
      <c r="H2">
        <v>0</v>
      </c>
    </row>
    <row r="3" spans="1:17" x14ac:dyDescent="0.2">
      <c r="A3">
        <v>952</v>
      </c>
      <c r="B3">
        <v>146</v>
      </c>
      <c r="C3" t="s">
        <v>419</v>
      </c>
      <c r="D3">
        <v>0</v>
      </c>
      <c r="E3" s="8">
        <v>0</v>
      </c>
      <c r="F3">
        <v>0</v>
      </c>
      <c r="G3">
        <v>0</v>
      </c>
      <c r="H3">
        <v>0</v>
      </c>
    </row>
    <row r="4" spans="1:17" x14ac:dyDescent="0.2">
      <c r="A4">
        <v>952</v>
      </c>
      <c r="B4">
        <v>148</v>
      </c>
      <c r="C4" t="s">
        <v>278</v>
      </c>
      <c r="D4">
        <v>-14720</v>
      </c>
      <c r="E4" s="8">
        <v>-14720</v>
      </c>
      <c r="F4">
        <v>0</v>
      </c>
      <c r="G4">
        <v>-37120</v>
      </c>
      <c r="H4">
        <v>-37120</v>
      </c>
    </row>
    <row r="5" spans="1:17" x14ac:dyDescent="0.2">
      <c r="A5">
        <v>952</v>
      </c>
      <c r="B5">
        <v>156</v>
      </c>
      <c r="C5" t="s">
        <v>1194</v>
      </c>
      <c r="D5">
        <v>-960</v>
      </c>
      <c r="E5" s="8">
        <v>-14160</v>
      </c>
      <c r="F5">
        <v>0</v>
      </c>
      <c r="G5">
        <v>-4640</v>
      </c>
      <c r="H5">
        <v>-4640</v>
      </c>
    </row>
    <row r="6" spans="1:17" x14ac:dyDescent="0.2">
      <c r="A6">
        <v>952</v>
      </c>
      <c r="B6">
        <v>10000</v>
      </c>
      <c r="C6" t="s">
        <v>420</v>
      </c>
      <c r="D6">
        <v>0</v>
      </c>
      <c r="E6" s="8">
        <v>0</v>
      </c>
      <c r="F6">
        <v>0</v>
      </c>
      <c r="G6">
        <v>0</v>
      </c>
      <c r="H6">
        <v>0</v>
      </c>
    </row>
    <row r="7" spans="1:17" x14ac:dyDescent="0.2">
      <c r="A7">
        <v>952</v>
      </c>
      <c r="B7">
        <v>10010</v>
      </c>
      <c r="C7" t="s">
        <v>421</v>
      </c>
      <c r="D7">
        <v>-67673.740000000005</v>
      </c>
      <c r="E7" s="8">
        <v>-815003.55</v>
      </c>
      <c r="F7">
        <v>-814288</v>
      </c>
      <c r="G7">
        <v>-825180.66</v>
      </c>
      <c r="H7">
        <v>-825180.66</v>
      </c>
    </row>
    <row r="8" spans="1:17" x14ac:dyDescent="0.2">
      <c r="A8">
        <v>952</v>
      </c>
      <c r="B8">
        <v>10011</v>
      </c>
      <c r="C8" t="s">
        <v>422</v>
      </c>
      <c r="D8">
        <v>0</v>
      </c>
      <c r="E8" s="8">
        <v>-217197.11</v>
      </c>
      <c r="F8">
        <v>0</v>
      </c>
      <c r="G8">
        <v>-288850</v>
      </c>
      <c r="H8">
        <v>-288850</v>
      </c>
    </row>
    <row r="9" spans="1:17" x14ac:dyDescent="0.2">
      <c r="A9">
        <v>952</v>
      </c>
      <c r="B9">
        <v>10020</v>
      </c>
      <c r="C9" t="s">
        <v>23</v>
      </c>
      <c r="D9">
        <v>0</v>
      </c>
      <c r="E9" s="8">
        <v>-7683.48</v>
      </c>
      <c r="F9">
        <v>-8960</v>
      </c>
      <c r="G9">
        <v>-8958.25</v>
      </c>
      <c r="H9">
        <v>-8958.25</v>
      </c>
    </row>
    <row r="10" spans="1:17" x14ac:dyDescent="0.2">
      <c r="A10">
        <v>952</v>
      </c>
      <c r="B10">
        <v>10050</v>
      </c>
      <c r="C10" t="s">
        <v>423</v>
      </c>
      <c r="D10">
        <v>0</v>
      </c>
      <c r="E10" s="8">
        <v>0</v>
      </c>
      <c r="F10">
        <v>0</v>
      </c>
      <c r="G10">
        <v>0</v>
      </c>
      <c r="H10">
        <v>0</v>
      </c>
    </row>
    <row r="11" spans="1:17" x14ac:dyDescent="0.2">
      <c r="A11">
        <v>952</v>
      </c>
      <c r="B11">
        <v>10190</v>
      </c>
      <c r="C11" t="s">
        <v>424</v>
      </c>
      <c r="D11">
        <v>-147314.20000000001</v>
      </c>
      <c r="E11" s="8">
        <v>-1767770.4</v>
      </c>
      <c r="F11">
        <v>-1767768</v>
      </c>
      <c r="G11">
        <v>-1767770.4</v>
      </c>
      <c r="H11">
        <v>-1767770.4</v>
      </c>
    </row>
    <row r="12" spans="1:17" x14ac:dyDescent="0.2">
      <c r="A12">
        <v>952</v>
      </c>
      <c r="B12">
        <v>10200</v>
      </c>
      <c r="C12" t="s">
        <v>24</v>
      </c>
      <c r="D12">
        <v>-13554.26</v>
      </c>
      <c r="E12" s="8">
        <v>-162651.22</v>
      </c>
      <c r="F12">
        <v>-162651</v>
      </c>
      <c r="G12">
        <v>-162651.24</v>
      </c>
      <c r="H12">
        <v>-162651.24</v>
      </c>
    </row>
    <row r="13" spans="1:17" x14ac:dyDescent="0.2">
      <c r="A13">
        <v>952</v>
      </c>
      <c r="B13">
        <v>10210</v>
      </c>
      <c r="C13" t="s">
        <v>25</v>
      </c>
      <c r="D13">
        <v>-51722.96</v>
      </c>
      <c r="E13" s="8">
        <v>-620675.61</v>
      </c>
      <c r="F13">
        <v>-620677</v>
      </c>
      <c r="G13">
        <v>-620675.64</v>
      </c>
      <c r="H13">
        <v>-620675.64</v>
      </c>
    </row>
    <row r="14" spans="1:17" x14ac:dyDescent="0.2">
      <c r="A14">
        <v>952</v>
      </c>
      <c r="B14">
        <v>10240</v>
      </c>
      <c r="C14" t="s">
        <v>426</v>
      </c>
      <c r="D14">
        <v>-53716.800000000003</v>
      </c>
      <c r="E14" s="8">
        <v>-644601.69999999995</v>
      </c>
      <c r="F14">
        <v>-644601</v>
      </c>
      <c r="G14">
        <v>-644601.72</v>
      </c>
      <c r="H14">
        <v>-644601.72</v>
      </c>
    </row>
    <row r="15" spans="1:17" x14ac:dyDescent="0.2">
      <c r="A15">
        <v>952</v>
      </c>
      <c r="B15">
        <v>10282</v>
      </c>
      <c r="C15" t="s">
        <v>26</v>
      </c>
      <c r="D15">
        <v>-1273.6099999999999</v>
      </c>
      <c r="E15" s="8">
        <v>-15283.41</v>
      </c>
      <c r="F15">
        <v>-15282</v>
      </c>
      <c r="G15">
        <v>-15283.44</v>
      </c>
      <c r="H15">
        <v>-15283.44</v>
      </c>
    </row>
    <row r="16" spans="1:17" x14ac:dyDescent="0.2">
      <c r="A16">
        <v>952</v>
      </c>
      <c r="B16">
        <v>10283</v>
      </c>
      <c r="C16" t="s">
        <v>27</v>
      </c>
      <c r="D16">
        <v>-66471.289999999994</v>
      </c>
      <c r="E16" s="8">
        <v>-797655.57</v>
      </c>
      <c r="F16">
        <v>-797655</v>
      </c>
      <c r="G16">
        <v>-797655.6</v>
      </c>
      <c r="H16">
        <v>-797655.6</v>
      </c>
      <c r="M16" s="8"/>
      <c r="N16" s="8"/>
      <c r="O16" s="8"/>
      <c r="P16" s="8"/>
      <c r="Q16" s="8"/>
    </row>
    <row r="17" spans="1:17" x14ac:dyDescent="0.2">
      <c r="A17">
        <v>952</v>
      </c>
      <c r="B17">
        <v>10286</v>
      </c>
      <c r="C17" t="s">
        <v>28</v>
      </c>
      <c r="D17">
        <v>0</v>
      </c>
      <c r="E17" s="8">
        <v>0</v>
      </c>
      <c r="F17">
        <v>0</v>
      </c>
      <c r="G17">
        <v>0</v>
      </c>
      <c r="H17">
        <v>0</v>
      </c>
      <c r="M17" s="8"/>
      <c r="N17" s="8"/>
      <c r="O17" s="8"/>
      <c r="P17" s="8"/>
      <c r="Q17" s="8"/>
    </row>
    <row r="18" spans="1:17" x14ac:dyDescent="0.2">
      <c r="A18">
        <v>952</v>
      </c>
      <c r="B18">
        <v>10287</v>
      </c>
      <c r="C18" t="s">
        <v>29</v>
      </c>
      <c r="D18">
        <v>0</v>
      </c>
      <c r="E18" s="8">
        <v>0</v>
      </c>
      <c r="F18">
        <v>0</v>
      </c>
      <c r="G18">
        <v>0</v>
      </c>
      <c r="H18">
        <v>0</v>
      </c>
      <c r="M18" s="8"/>
      <c r="N18" s="8"/>
      <c r="O18" s="8"/>
      <c r="P18" s="8"/>
      <c r="Q18" s="8"/>
    </row>
    <row r="19" spans="1:17" x14ac:dyDescent="0.2">
      <c r="A19">
        <v>952</v>
      </c>
      <c r="B19">
        <v>10288</v>
      </c>
      <c r="C19" t="s">
        <v>935</v>
      </c>
      <c r="D19">
        <v>-90022.67</v>
      </c>
      <c r="E19" s="8">
        <v>-1080272.1399999999</v>
      </c>
      <c r="F19">
        <v>-1036733</v>
      </c>
      <c r="G19">
        <v>-1055026.08</v>
      </c>
      <c r="H19">
        <v>-1055026.08</v>
      </c>
      <c r="J19" s="8"/>
      <c r="K19" s="8"/>
      <c r="L19" s="8"/>
      <c r="M19" s="8"/>
      <c r="N19" s="8"/>
      <c r="O19" s="8"/>
      <c r="P19" s="8"/>
      <c r="Q19" s="8"/>
    </row>
    <row r="20" spans="1:17" x14ac:dyDescent="0.2">
      <c r="A20" s="8">
        <v>952</v>
      </c>
      <c r="B20" s="8">
        <v>10289</v>
      </c>
      <c r="C20" s="8" t="s">
        <v>1315</v>
      </c>
      <c r="D20" s="8">
        <v>0</v>
      </c>
      <c r="E20" s="8">
        <v>-10000</v>
      </c>
      <c r="F20" s="8">
        <v>0</v>
      </c>
      <c r="G20" s="8">
        <v>0</v>
      </c>
      <c r="H20" s="8">
        <v>0</v>
      </c>
      <c r="M20" s="8"/>
      <c r="N20" s="8"/>
      <c r="O20" s="8"/>
      <c r="P20" s="8"/>
      <c r="Q20" s="8"/>
    </row>
    <row r="21" spans="1:17" x14ac:dyDescent="0.2">
      <c r="A21">
        <v>952</v>
      </c>
      <c r="B21">
        <v>10290</v>
      </c>
      <c r="C21" t="s">
        <v>427</v>
      </c>
      <c r="D21">
        <v>-1053938.52</v>
      </c>
      <c r="E21" s="8">
        <v>-8755013.5600000005</v>
      </c>
      <c r="F21">
        <v>-8370000</v>
      </c>
      <c r="G21">
        <v>-8632083.6099999994</v>
      </c>
      <c r="H21">
        <v>-8632083.6099999994</v>
      </c>
      <c r="M21" s="8"/>
      <c r="N21" s="8"/>
      <c r="O21" s="8"/>
      <c r="P21" s="8"/>
      <c r="Q21" s="8"/>
    </row>
    <row r="22" spans="1:17" x14ac:dyDescent="0.2">
      <c r="A22">
        <v>952</v>
      </c>
      <c r="B22">
        <v>10299</v>
      </c>
      <c r="C22" t="s">
        <v>428</v>
      </c>
      <c r="D22">
        <v>0</v>
      </c>
      <c r="E22" s="8">
        <v>0</v>
      </c>
      <c r="F22">
        <v>0</v>
      </c>
      <c r="G22">
        <v>0</v>
      </c>
      <c r="H22">
        <v>0</v>
      </c>
      <c r="M22" s="8"/>
      <c r="N22" s="8"/>
      <c r="O22" s="8"/>
      <c r="P22" s="8"/>
      <c r="Q22" s="8"/>
    </row>
    <row r="23" spans="1:17" x14ac:dyDescent="0.2">
      <c r="A23">
        <v>952</v>
      </c>
      <c r="B23">
        <v>10300</v>
      </c>
      <c r="C23" t="s">
        <v>30</v>
      </c>
      <c r="D23">
        <v>0</v>
      </c>
      <c r="E23" s="8">
        <v>-477895.56</v>
      </c>
      <c r="F23">
        <v>-476661</v>
      </c>
      <c r="G23">
        <v>-448748.39</v>
      </c>
      <c r="H23">
        <v>-448748.39</v>
      </c>
      <c r="M23" s="8"/>
      <c r="N23" s="8"/>
      <c r="O23" s="8"/>
      <c r="P23" s="8"/>
      <c r="Q23" s="8"/>
    </row>
    <row r="24" spans="1:17" x14ac:dyDescent="0.2">
      <c r="A24">
        <v>952</v>
      </c>
      <c r="B24">
        <v>10310</v>
      </c>
      <c r="C24" t="s">
        <v>31</v>
      </c>
      <c r="D24">
        <v>-8674.7000000000007</v>
      </c>
      <c r="E24" s="8">
        <v>-104096.41</v>
      </c>
      <c r="F24">
        <v>-104096</v>
      </c>
      <c r="G24">
        <v>-104096.4</v>
      </c>
      <c r="H24">
        <v>-104096.4</v>
      </c>
      <c r="M24" s="8"/>
      <c r="N24" s="8"/>
      <c r="O24" s="8"/>
      <c r="P24" s="8"/>
      <c r="Q24" s="8"/>
    </row>
    <row r="25" spans="1:17" x14ac:dyDescent="0.2">
      <c r="A25">
        <v>952</v>
      </c>
      <c r="B25">
        <v>10315</v>
      </c>
      <c r="C25" t="s">
        <v>32</v>
      </c>
      <c r="D25">
        <v>-24295.06</v>
      </c>
      <c r="E25" s="8">
        <v>-296516.46000000002</v>
      </c>
      <c r="F25">
        <v>-291542</v>
      </c>
      <c r="G25">
        <v>-301975.56</v>
      </c>
      <c r="H25">
        <v>-301975.56</v>
      </c>
      <c r="M25" s="8"/>
      <c r="N25" s="8"/>
      <c r="O25" s="8"/>
      <c r="P25" s="8"/>
      <c r="Q25" s="8"/>
    </row>
    <row r="26" spans="1:17" x14ac:dyDescent="0.2">
      <c r="A26">
        <v>952</v>
      </c>
      <c r="B26">
        <v>10316</v>
      </c>
      <c r="C26" t="s">
        <v>33</v>
      </c>
      <c r="D26">
        <v>-14721.08</v>
      </c>
      <c r="E26" s="8">
        <v>-176653.05</v>
      </c>
      <c r="F26">
        <v>-176653</v>
      </c>
      <c r="G26">
        <v>-176653.08</v>
      </c>
      <c r="H26">
        <v>-176653.08</v>
      </c>
      <c r="M26" s="8"/>
      <c r="N26" s="8"/>
      <c r="O26" s="8"/>
      <c r="P26" s="8"/>
      <c r="Q26" s="8"/>
    </row>
    <row r="27" spans="1:17" x14ac:dyDescent="0.2">
      <c r="A27">
        <v>952</v>
      </c>
      <c r="B27">
        <v>10317</v>
      </c>
      <c r="C27" t="s">
        <v>429</v>
      </c>
      <c r="D27">
        <v>0</v>
      </c>
      <c r="E27" s="8">
        <v>0</v>
      </c>
      <c r="F27">
        <v>0</v>
      </c>
      <c r="G27">
        <v>0</v>
      </c>
      <c r="H27">
        <v>0</v>
      </c>
      <c r="M27" s="8"/>
      <c r="N27" s="8"/>
      <c r="O27" s="8"/>
      <c r="P27" s="8"/>
      <c r="Q27" s="8"/>
    </row>
    <row r="28" spans="1:17" x14ac:dyDescent="0.2">
      <c r="A28">
        <v>952</v>
      </c>
      <c r="B28">
        <v>10318</v>
      </c>
      <c r="C28" t="s">
        <v>34</v>
      </c>
      <c r="D28">
        <v>-14243.46</v>
      </c>
      <c r="E28" s="8">
        <v>-170921.62</v>
      </c>
      <c r="F28">
        <v>-170922</v>
      </c>
      <c r="G28">
        <v>-170921.64</v>
      </c>
      <c r="H28">
        <v>-170921.64</v>
      </c>
      <c r="M28" s="8"/>
      <c r="N28" s="8"/>
      <c r="O28" s="8"/>
      <c r="P28" s="8"/>
      <c r="Q28" s="8"/>
    </row>
    <row r="29" spans="1:17" x14ac:dyDescent="0.2">
      <c r="A29">
        <v>952</v>
      </c>
      <c r="B29">
        <v>10320</v>
      </c>
      <c r="C29" t="s">
        <v>1020</v>
      </c>
      <c r="D29">
        <v>0</v>
      </c>
      <c r="E29" s="8">
        <v>0</v>
      </c>
      <c r="F29">
        <v>0</v>
      </c>
      <c r="G29">
        <v>0</v>
      </c>
      <c r="H29">
        <v>0</v>
      </c>
      <c r="M29" s="8"/>
      <c r="N29" s="8"/>
      <c r="O29" s="8"/>
      <c r="P29" s="8"/>
      <c r="Q29" s="8"/>
    </row>
    <row r="30" spans="1:17" x14ac:dyDescent="0.2">
      <c r="A30">
        <v>952</v>
      </c>
      <c r="B30">
        <v>10399</v>
      </c>
      <c r="C30" t="s">
        <v>430</v>
      </c>
      <c r="D30">
        <v>0</v>
      </c>
      <c r="E30" s="8">
        <v>0</v>
      </c>
      <c r="F30">
        <v>0</v>
      </c>
      <c r="G30">
        <v>0</v>
      </c>
      <c r="H30">
        <v>0</v>
      </c>
      <c r="M30" s="8"/>
      <c r="N30" s="8"/>
      <c r="O30" s="8"/>
      <c r="P30" s="8"/>
      <c r="Q30" s="8"/>
    </row>
    <row r="31" spans="1:17" x14ac:dyDescent="0.2">
      <c r="A31">
        <v>952</v>
      </c>
      <c r="B31">
        <v>10400</v>
      </c>
      <c r="C31" t="s">
        <v>431</v>
      </c>
      <c r="D31">
        <v>0</v>
      </c>
      <c r="E31" s="8">
        <v>-25044.5</v>
      </c>
      <c r="F31">
        <v>-18896</v>
      </c>
      <c r="G31">
        <v>-43940.57</v>
      </c>
      <c r="H31">
        <v>-43940.57</v>
      </c>
      <c r="M31" s="8"/>
      <c r="N31" s="8"/>
      <c r="O31" s="8"/>
      <c r="P31" s="8"/>
      <c r="Q31" s="8"/>
    </row>
    <row r="32" spans="1:17" x14ac:dyDescent="0.2">
      <c r="A32">
        <v>952</v>
      </c>
      <c r="B32">
        <v>10405</v>
      </c>
      <c r="C32" t="s">
        <v>463</v>
      </c>
      <c r="D32">
        <v>-400</v>
      </c>
      <c r="E32" s="8">
        <v>-14149.87</v>
      </c>
      <c r="F32">
        <v>-18750</v>
      </c>
      <c r="G32">
        <v>-4308.7</v>
      </c>
      <c r="H32">
        <v>-4308.7</v>
      </c>
      <c r="M32" s="8"/>
      <c r="N32" s="8"/>
      <c r="O32" s="8"/>
      <c r="P32" s="8"/>
      <c r="Q32" s="8"/>
    </row>
    <row r="33" spans="1:17" x14ac:dyDescent="0.2">
      <c r="A33">
        <v>952</v>
      </c>
      <c r="B33">
        <v>10410</v>
      </c>
      <c r="C33" t="s">
        <v>432</v>
      </c>
      <c r="D33">
        <v>-25256.43</v>
      </c>
      <c r="E33" s="8">
        <v>-25256.43</v>
      </c>
      <c r="F33">
        <v>0</v>
      </c>
      <c r="G33">
        <v>-19463.14</v>
      </c>
      <c r="H33">
        <v>-19463.14</v>
      </c>
      <c r="M33" s="8"/>
      <c r="N33" s="8"/>
      <c r="O33" s="8"/>
      <c r="P33" s="8"/>
      <c r="Q33" s="8"/>
    </row>
    <row r="34" spans="1:17" x14ac:dyDescent="0.2">
      <c r="A34">
        <v>952</v>
      </c>
      <c r="B34">
        <v>10420</v>
      </c>
      <c r="C34" t="s">
        <v>433</v>
      </c>
      <c r="D34">
        <v>0</v>
      </c>
      <c r="E34" s="8">
        <v>0</v>
      </c>
      <c r="F34">
        <v>0</v>
      </c>
      <c r="G34">
        <v>0</v>
      </c>
      <c r="H34">
        <v>0</v>
      </c>
      <c r="M34" s="8"/>
      <c r="N34" s="8"/>
      <c r="O34" s="8"/>
      <c r="P34" s="8"/>
      <c r="Q34" s="8"/>
    </row>
    <row r="35" spans="1:17" x14ac:dyDescent="0.2">
      <c r="A35">
        <v>952</v>
      </c>
      <c r="B35">
        <v>10430</v>
      </c>
      <c r="C35" t="s">
        <v>35</v>
      </c>
      <c r="D35">
        <v>-1569.13</v>
      </c>
      <c r="E35" s="8">
        <v>-18829.560000000001</v>
      </c>
      <c r="F35">
        <v>-18830</v>
      </c>
      <c r="G35">
        <v>-18829.62</v>
      </c>
      <c r="H35">
        <v>-18829.62</v>
      </c>
      <c r="M35" s="8"/>
      <c r="N35" s="8"/>
      <c r="O35" s="8"/>
      <c r="P35" s="8"/>
      <c r="Q35" s="8"/>
    </row>
    <row r="36" spans="1:17" x14ac:dyDescent="0.2">
      <c r="A36">
        <v>952</v>
      </c>
      <c r="B36">
        <v>10440</v>
      </c>
      <c r="C36" t="s">
        <v>434</v>
      </c>
      <c r="D36">
        <v>0</v>
      </c>
      <c r="E36" s="8">
        <v>0</v>
      </c>
      <c r="F36">
        <v>0</v>
      </c>
      <c r="G36">
        <v>0</v>
      </c>
      <c r="H36">
        <v>0</v>
      </c>
      <c r="M36" s="8"/>
      <c r="N36" s="8"/>
      <c r="O36" s="8"/>
      <c r="P36" s="8"/>
      <c r="Q36" s="8"/>
    </row>
    <row r="37" spans="1:17" x14ac:dyDescent="0.2">
      <c r="A37">
        <v>952</v>
      </c>
      <c r="B37">
        <v>10450</v>
      </c>
      <c r="C37" t="s">
        <v>435</v>
      </c>
      <c r="D37">
        <v>0</v>
      </c>
      <c r="E37" s="8">
        <v>0</v>
      </c>
      <c r="F37">
        <v>0</v>
      </c>
      <c r="G37">
        <v>0</v>
      </c>
      <c r="H37">
        <v>0</v>
      </c>
      <c r="M37" s="8"/>
      <c r="N37" s="8"/>
      <c r="O37" s="8"/>
      <c r="P37" s="8"/>
      <c r="Q37" s="8"/>
    </row>
    <row r="38" spans="1:17" x14ac:dyDescent="0.2">
      <c r="A38">
        <v>952</v>
      </c>
      <c r="B38">
        <v>10529</v>
      </c>
      <c r="C38" t="s">
        <v>436</v>
      </c>
      <c r="D38">
        <v>0</v>
      </c>
      <c r="E38" s="8">
        <v>0</v>
      </c>
      <c r="F38">
        <v>0</v>
      </c>
      <c r="G38">
        <v>0</v>
      </c>
      <c r="H38">
        <v>0</v>
      </c>
      <c r="M38" s="8"/>
      <c r="N38" s="8"/>
      <c r="O38" s="8"/>
      <c r="P38" s="8"/>
      <c r="Q38" s="8"/>
    </row>
    <row r="39" spans="1:17" x14ac:dyDescent="0.2">
      <c r="A39">
        <v>952</v>
      </c>
      <c r="B39">
        <v>10530</v>
      </c>
      <c r="C39" t="s">
        <v>437</v>
      </c>
      <c r="D39">
        <v>-63327.46</v>
      </c>
      <c r="E39" s="8">
        <v>-276158.87</v>
      </c>
      <c r="F39">
        <v>-140000</v>
      </c>
      <c r="G39">
        <v>-229862.37</v>
      </c>
      <c r="H39">
        <v>-229862.37</v>
      </c>
      <c r="M39" s="8"/>
      <c r="N39" s="8"/>
      <c r="O39" s="8"/>
      <c r="P39" s="8"/>
      <c r="Q39" s="8"/>
    </row>
    <row r="40" spans="1:17" x14ac:dyDescent="0.2">
      <c r="A40">
        <v>952</v>
      </c>
      <c r="B40">
        <v>10600</v>
      </c>
      <c r="C40" t="s">
        <v>438</v>
      </c>
      <c r="D40">
        <v>0</v>
      </c>
      <c r="E40" s="8">
        <v>0</v>
      </c>
      <c r="F40">
        <v>0</v>
      </c>
      <c r="G40">
        <v>0</v>
      </c>
      <c r="H40">
        <v>0</v>
      </c>
      <c r="M40" s="8"/>
      <c r="N40" s="8"/>
      <c r="O40" s="8"/>
      <c r="P40" s="8"/>
      <c r="Q40" s="8"/>
    </row>
    <row r="41" spans="1:17" x14ac:dyDescent="0.2">
      <c r="A41">
        <v>952</v>
      </c>
      <c r="B41">
        <v>10601</v>
      </c>
      <c r="C41" t="s">
        <v>439</v>
      </c>
      <c r="D41">
        <v>0</v>
      </c>
      <c r="E41" s="8">
        <v>0</v>
      </c>
      <c r="F41">
        <v>0</v>
      </c>
      <c r="G41">
        <v>0</v>
      </c>
      <c r="H41">
        <v>0</v>
      </c>
      <c r="M41" s="8"/>
      <c r="N41" s="8"/>
      <c r="O41" s="8"/>
      <c r="P41" s="8"/>
      <c r="Q41" s="8"/>
    </row>
    <row r="42" spans="1:17" x14ac:dyDescent="0.2">
      <c r="A42">
        <v>952</v>
      </c>
      <c r="B42">
        <v>10640</v>
      </c>
      <c r="C42" t="s">
        <v>440</v>
      </c>
      <c r="D42">
        <v>0</v>
      </c>
      <c r="E42" s="8">
        <v>-300</v>
      </c>
      <c r="F42">
        <v>-100</v>
      </c>
      <c r="G42">
        <v>-150</v>
      </c>
      <c r="H42">
        <v>-150</v>
      </c>
      <c r="M42" s="8"/>
      <c r="N42" s="8"/>
      <c r="O42" s="8"/>
      <c r="P42" s="8"/>
      <c r="Q42" s="8"/>
    </row>
    <row r="43" spans="1:17" x14ac:dyDescent="0.2">
      <c r="A43">
        <v>952</v>
      </c>
      <c r="B43">
        <v>10660</v>
      </c>
      <c r="C43" t="s">
        <v>441</v>
      </c>
      <c r="D43">
        <v>-25</v>
      </c>
      <c r="E43" s="8">
        <v>-26200</v>
      </c>
      <c r="F43">
        <v>-250</v>
      </c>
      <c r="G43">
        <v>-22300</v>
      </c>
      <c r="H43">
        <v>-22300</v>
      </c>
      <c r="M43" s="8"/>
      <c r="N43" s="8"/>
      <c r="O43" s="8"/>
      <c r="P43" s="8"/>
      <c r="Q43" s="8"/>
    </row>
    <row r="44" spans="1:17" x14ac:dyDescent="0.2">
      <c r="A44">
        <v>952</v>
      </c>
      <c r="B44">
        <v>10700</v>
      </c>
      <c r="C44" t="s">
        <v>36</v>
      </c>
      <c r="D44">
        <v>0</v>
      </c>
      <c r="E44" s="8">
        <v>-5000</v>
      </c>
      <c r="F44">
        <v>0</v>
      </c>
      <c r="G44">
        <v>0</v>
      </c>
      <c r="H44">
        <v>0</v>
      </c>
      <c r="M44" s="8"/>
      <c r="N44" s="8"/>
      <c r="O44" s="8"/>
      <c r="P44" s="8"/>
      <c r="Q44" s="8"/>
    </row>
    <row r="45" spans="1:17" x14ac:dyDescent="0.2">
      <c r="A45">
        <v>952</v>
      </c>
      <c r="B45">
        <v>10710</v>
      </c>
      <c r="C45" t="s">
        <v>442</v>
      </c>
      <c r="D45">
        <v>-47.91</v>
      </c>
      <c r="E45" s="8">
        <v>-1229.67</v>
      </c>
      <c r="F45">
        <v>-150</v>
      </c>
      <c r="G45">
        <v>-738.05</v>
      </c>
      <c r="H45">
        <v>-738.05</v>
      </c>
      <c r="M45" s="8"/>
      <c r="N45" s="8"/>
      <c r="O45" s="8"/>
      <c r="P45" s="8"/>
      <c r="Q45" s="8"/>
    </row>
    <row r="46" spans="1:17" x14ac:dyDescent="0.2">
      <c r="A46">
        <v>952</v>
      </c>
      <c r="B46">
        <v>10800</v>
      </c>
      <c r="C46" t="s">
        <v>443</v>
      </c>
      <c r="D46">
        <v>0</v>
      </c>
      <c r="E46" s="8">
        <v>0</v>
      </c>
      <c r="F46">
        <v>0</v>
      </c>
      <c r="G46">
        <v>0</v>
      </c>
      <c r="H46">
        <v>0</v>
      </c>
      <c r="M46" s="8"/>
      <c r="N46" s="8"/>
      <c r="O46" s="8"/>
      <c r="P46" s="8"/>
      <c r="Q46" s="8"/>
    </row>
    <row r="47" spans="1:17" x14ac:dyDescent="0.2">
      <c r="A47">
        <v>952</v>
      </c>
      <c r="B47">
        <v>10801</v>
      </c>
      <c r="C47" t="s">
        <v>444</v>
      </c>
      <c r="D47">
        <v>0</v>
      </c>
      <c r="E47" s="8">
        <v>0</v>
      </c>
      <c r="F47">
        <v>0</v>
      </c>
      <c r="G47">
        <v>0</v>
      </c>
      <c r="H47">
        <v>0</v>
      </c>
      <c r="M47" s="8"/>
      <c r="N47" s="8"/>
      <c r="O47" s="8"/>
      <c r="P47" s="8"/>
      <c r="Q47" s="8"/>
    </row>
    <row r="48" spans="1:17" x14ac:dyDescent="0.2">
      <c r="A48">
        <v>952</v>
      </c>
      <c r="B48">
        <v>10850</v>
      </c>
      <c r="C48" t="s">
        <v>55</v>
      </c>
      <c r="D48">
        <v>0</v>
      </c>
      <c r="E48" s="8">
        <v>0</v>
      </c>
      <c r="F48">
        <v>0</v>
      </c>
      <c r="G48">
        <v>0</v>
      </c>
      <c r="H48">
        <v>0</v>
      </c>
      <c r="M48" s="8"/>
      <c r="N48" s="8"/>
      <c r="O48" s="8"/>
      <c r="P48" s="8"/>
      <c r="Q48" s="8"/>
    </row>
    <row r="49" spans="1:17" x14ac:dyDescent="0.2">
      <c r="A49">
        <v>952</v>
      </c>
      <c r="B49">
        <v>10890</v>
      </c>
      <c r="C49" t="s">
        <v>445</v>
      </c>
      <c r="D49">
        <v>0</v>
      </c>
      <c r="E49" s="8">
        <v>-26325</v>
      </c>
      <c r="F49">
        <v>-27000</v>
      </c>
      <c r="G49">
        <v>-31941</v>
      </c>
      <c r="H49">
        <v>-31941</v>
      </c>
      <c r="M49" s="8"/>
      <c r="N49" s="8"/>
      <c r="O49" s="8"/>
      <c r="P49" s="8"/>
      <c r="Q49" s="8"/>
    </row>
    <row r="50" spans="1:17" x14ac:dyDescent="0.2">
      <c r="A50">
        <v>952</v>
      </c>
      <c r="B50">
        <v>10895</v>
      </c>
      <c r="C50" t="s">
        <v>446</v>
      </c>
      <c r="D50">
        <v>0</v>
      </c>
      <c r="E50" s="8">
        <v>0</v>
      </c>
      <c r="F50">
        <v>0</v>
      </c>
      <c r="G50">
        <v>0</v>
      </c>
      <c r="H50">
        <v>0</v>
      </c>
      <c r="M50" s="8"/>
      <c r="N50" s="8"/>
      <c r="O50" s="8"/>
      <c r="P50" s="8"/>
      <c r="Q50" s="8"/>
    </row>
    <row r="51" spans="1:17" x14ac:dyDescent="0.2">
      <c r="A51">
        <v>952</v>
      </c>
      <c r="B51">
        <v>10900</v>
      </c>
      <c r="C51" t="s">
        <v>447</v>
      </c>
      <c r="D51">
        <v>-345.22</v>
      </c>
      <c r="E51" s="8">
        <v>-23506.98</v>
      </c>
      <c r="F51">
        <v>-22000</v>
      </c>
      <c r="G51">
        <v>-7452.7</v>
      </c>
      <c r="H51">
        <v>-7452.7</v>
      </c>
      <c r="M51" s="8"/>
      <c r="N51" s="8"/>
      <c r="O51" s="8"/>
      <c r="P51" s="8"/>
      <c r="Q51" s="8"/>
    </row>
    <row r="52" spans="1:17" x14ac:dyDescent="0.2">
      <c r="A52">
        <v>952</v>
      </c>
      <c r="B52">
        <v>10901</v>
      </c>
      <c r="C52" t="s">
        <v>448</v>
      </c>
      <c r="D52">
        <v>0</v>
      </c>
      <c r="E52" s="8">
        <v>7191.02</v>
      </c>
      <c r="F52">
        <v>0</v>
      </c>
      <c r="G52">
        <v>0</v>
      </c>
      <c r="H52">
        <v>0</v>
      </c>
      <c r="M52" s="8"/>
      <c r="N52" s="8"/>
      <c r="O52" s="8"/>
      <c r="P52" s="8"/>
      <c r="Q52" s="8"/>
    </row>
    <row r="53" spans="1:17" x14ac:dyDescent="0.2">
      <c r="A53">
        <v>952</v>
      </c>
      <c r="B53">
        <v>10902</v>
      </c>
      <c r="C53" t="s">
        <v>37</v>
      </c>
      <c r="D53">
        <v>22301.57</v>
      </c>
      <c r="E53" s="8">
        <v>170972.01</v>
      </c>
      <c r="F53">
        <v>170922</v>
      </c>
      <c r="G53">
        <v>170972</v>
      </c>
      <c r="H53">
        <v>170972</v>
      </c>
      <c r="M53" s="8"/>
      <c r="N53" s="8"/>
      <c r="O53" s="8"/>
      <c r="P53" s="8"/>
      <c r="Q53" s="8"/>
    </row>
    <row r="54" spans="1:17" x14ac:dyDescent="0.2">
      <c r="A54">
        <v>952</v>
      </c>
      <c r="B54">
        <v>10903</v>
      </c>
      <c r="C54" t="s">
        <v>38</v>
      </c>
      <c r="D54">
        <v>0</v>
      </c>
      <c r="E54" s="8">
        <v>0</v>
      </c>
      <c r="F54">
        <v>0</v>
      </c>
      <c r="G54">
        <v>0</v>
      </c>
      <c r="H54">
        <v>0</v>
      </c>
      <c r="M54" s="8"/>
      <c r="N54" s="8"/>
      <c r="O54" s="8"/>
      <c r="P54" s="8"/>
      <c r="Q54" s="8"/>
    </row>
    <row r="55" spans="1:17" x14ac:dyDescent="0.2">
      <c r="A55">
        <v>952</v>
      </c>
      <c r="B55">
        <v>10990</v>
      </c>
      <c r="C55" t="s">
        <v>425</v>
      </c>
      <c r="D55">
        <v>0</v>
      </c>
      <c r="E55" s="8">
        <v>0</v>
      </c>
      <c r="F55">
        <v>0</v>
      </c>
      <c r="G55">
        <v>0</v>
      </c>
      <c r="H55">
        <v>0</v>
      </c>
      <c r="M55" s="8"/>
      <c r="N55" s="8"/>
      <c r="O55" s="8"/>
      <c r="P55" s="8"/>
      <c r="Q55" s="8"/>
    </row>
    <row r="56" spans="1:17" x14ac:dyDescent="0.2">
      <c r="A56">
        <v>952</v>
      </c>
      <c r="B56">
        <v>1597</v>
      </c>
      <c r="C56" t="s">
        <v>1195</v>
      </c>
      <c r="D56">
        <v>7036.19</v>
      </c>
      <c r="E56" s="8">
        <v>11528.19</v>
      </c>
      <c r="F56">
        <v>6241</v>
      </c>
      <c r="G56">
        <v>3667.61</v>
      </c>
      <c r="H56">
        <v>3667.61</v>
      </c>
      <c r="M56" s="8"/>
      <c r="N56" s="8"/>
      <c r="O56" s="8"/>
      <c r="P56" s="8"/>
      <c r="Q56" s="8"/>
    </row>
    <row r="57" spans="1:17" x14ac:dyDescent="0.2">
      <c r="A57">
        <v>952</v>
      </c>
      <c r="B57">
        <v>1900</v>
      </c>
      <c r="C57" t="s">
        <v>449</v>
      </c>
      <c r="D57">
        <v>-131754.75</v>
      </c>
      <c r="E57" s="8">
        <v>-2386322</v>
      </c>
      <c r="F57">
        <v>-1581057</v>
      </c>
      <c r="G57">
        <v>-1237863.8799999999</v>
      </c>
      <c r="H57">
        <v>-1237863.8799999999</v>
      </c>
      <c r="M57" s="8"/>
      <c r="N57" s="8"/>
      <c r="O57" s="8"/>
      <c r="P57" s="8"/>
      <c r="Q57" s="8"/>
    </row>
    <row r="58" spans="1:17" x14ac:dyDescent="0.2">
      <c r="A58">
        <v>952</v>
      </c>
      <c r="B58">
        <v>1905</v>
      </c>
      <c r="C58" t="s">
        <v>449</v>
      </c>
      <c r="D58">
        <v>131754.75</v>
      </c>
      <c r="E58" s="8">
        <v>2386322</v>
      </c>
      <c r="F58">
        <v>1581057</v>
      </c>
      <c r="G58">
        <v>1237863.8799999999</v>
      </c>
      <c r="H58">
        <v>1237863.8799999999</v>
      </c>
      <c r="M58" s="8"/>
      <c r="N58" s="8"/>
      <c r="O58" s="8"/>
      <c r="P58" s="8"/>
      <c r="Q58" s="8"/>
    </row>
    <row r="59" spans="1:17" x14ac:dyDescent="0.2">
      <c r="A59">
        <v>952</v>
      </c>
      <c r="B59">
        <v>1999</v>
      </c>
      <c r="C59" t="s">
        <v>1020</v>
      </c>
      <c r="D59">
        <v>14720</v>
      </c>
      <c r="E59" s="8">
        <v>14720</v>
      </c>
      <c r="F59">
        <v>0</v>
      </c>
      <c r="G59">
        <v>37120</v>
      </c>
      <c r="H59">
        <v>37120</v>
      </c>
      <c r="M59" s="8"/>
      <c r="N59" s="8"/>
      <c r="O59" s="8"/>
      <c r="P59" s="8"/>
      <c r="Q59" s="8"/>
    </row>
    <row r="60" spans="1:17" x14ac:dyDescent="0.2">
      <c r="A60">
        <v>952</v>
      </c>
      <c r="B60">
        <v>20999</v>
      </c>
      <c r="C60" t="s">
        <v>450</v>
      </c>
      <c r="D60">
        <v>0</v>
      </c>
      <c r="E60" s="8">
        <v>0</v>
      </c>
      <c r="F60">
        <v>0</v>
      </c>
      <c r="G60">
        <v>0</v>
      </c>
      <c r="H60">
        <v>0</v>
      </c>
      <c r="M60" s="8"/>
      <c r="N60" s="8"/>
      <c r="O60" s="8"/>
      <c r="P60" s="8"/>
      <c r="Q60" s="8"/>
    </row>
    <row r="61" spans="1:17" x14ac:dyDescent="0.2">
      <c r="A61">
        <v>952</v>
      </c>
      <c r="B61">
        <v>21000</v>
      </c>
      <c r="C61" t="s">
        <v>451</v>
      </c>
      <c r="D61">
        <v>0</v>
      </c>
      <c r="E61" s="8">
        <v>-367.39</v>
      </c>
      <c r="F61">
        <v>-150</v>
      </c>
      <c r="G61">
        <v>-358.7</v>
      </c>
      <c r="H61">
        <v>-358.7</v>
      </c>
    </row>
    <row r="62" spans="1:17" x14ac:dyDescent="0.2">
      <c r="A62">
        <v>952</v>
      </c>
      <c r="B62">
        <v>21100</v>
      </c>
      <c r="C62" t="s">
        <v>452</v>
      </c>
      <c r="D62">
        <v>0</v>
      </c>
      <c r="E62" s="8">
        <v>0</v>
      </c>
      <c r="F62">
        <v>0</v>
      </c>
      <c r="G62">
        <v>0</v>
      </c>
      <c r="H62">
        <v>0</v>
      </c>
    </row>
    <row r="63" spans="1:17" x14ac:dyDescent="0.2">
      <c r="A63">
        <v>952</v>
      </c>
      <c r="B63">
        <v>21110</v>
      </c>
      <c r="C63" t="s">
        <v>453</v>
      </c>
      <c r="D63">
        <v>0</v>
      </c>
      <c r="E63" s="8">
        <v>0</v>
      </c>
      <c r="F63">
        <v>0</v>
      </c>
      <c r="G63">
        <v>0</v>
      </c>
      <c r="H63">
        <v>0</v>
      </c>
    </row>
    <row r="64" spans="1:17" x14ac:dyDescent="0.2">
      <c r="A64">
        <v>952</v>
      </c>
      <c r="B64">
        <v>21170</v>
      </c>
      <c r="C64" t="s">
        <v>454</v>
      </c>
      <c r="D64">
        <v>0</v>
      </c>
      <c r="E64" s="8">
        <v>0</v>
      </c>
      <c r="F64">
        <v>0</v>
      </c>
      <c r="G64">
        <v>0</v>
      </c>
      <c r="H64">
        <v>0</v>
      </c>
    </row>
    <row r="65" spans="1:8" x14ac:dyDescent="0.2">
      <c r="A65">
        <v>952</v>
      </c>
      <c r="B65">
        <v>21800</v>
      </c>
      <c r="C65" t="s">
        <v>455</v>
      </c>
      <c r="D65">
        <v>0</v>
      </c>
      <c r="E65" s="8">
        <v>0</v>
      </c>
      <c r="F65">
        <v>0</v>
      </c>
      <c r="G65">
        <v>0</v>
      </c>
      <c r="H65">
        <v>0</v>
      </c>
    </row>
    <row r="66" spans="1:8" x14ac:dyDescent="0.2">
      <c r="A66">
        <v>952</v>
      </c>
      <c r="B66">
        <v>21900</v>
      </c>
      <c r="C66" t="s">
        <v>456</v>
      </c>
      <c r="D66">
        <v>0</v>
      </c>
      <c r="E66" s="8">
        <v>0</v>
      </c>
      <c r="F66">
        <v>0</v>
      </c>
      <c r="G66">
        <v>0</v>
      </c>
      <c r="H66">
        <v>0</v>
      </c>
    </row>
    <row r="67" spans="1:8" x14ac:dyDescent="0.2">
      <c r="A67">
        <v>952</v>
      </c>
      <c r="B67">
        <v>22000</v>
      </c>
      <c r="C67" t="s">
        <v>457</v>
      </c>
      <c r="D67">
        <v>-86.95</v>
      </c>
      <c r="E67" s="8">
        <v>-852.11</v>
      </c>
      <c r="F67">
        <v>-1000</v>
      </c>
      <c r="G67">
        <v>-1721.61</v>
      </c>
      <c r="H67">
        <v>-1721.61</v>
      </c>
    </row>
    <row r="68" spans="1:8" x14ac:dyDescent="0.2">
      <c r="A68">
        <v>952</v>
      </c>
      <c r="B68">
        <v>22100</v>
      </c>
      <c r="C68" t="s">
        <v>458</v>
      </c>
      <c r="D68">
        <v>360</v>
      </c>
      <c r="E68" s="8">
        <v>820</v>
      </c>
      <c r="F68">
        <v>1000</v>
      </c>
      <c r="G68">
        <v>1421.73</v>
      </c>
      <c r="H68">
        <v>1421.73</v>
      </c>
    </row>
    <row r="69" spans="1:8" x14ac:dyDescent="0.2">
      <c r="A69">
        <v>952</v>
      </c>
      <c r="B69">
        <v>22200</v>
      </c>
      <c r="C69" t="s">
        <v>459</v>
      </c>
      <c r="D69">
        <v>0</v>
      </c>
      <c r="E69" s="8">
        <v>-69.569999999999993</v>
      </c>
      <c r="F69">
        <v>0</v>
      </c>
      <c r="G69">
        <v>-295.64999999999998</v>
      </c>
      <c r="H69">
        <v>-295.64999999999998</v>
      </c>
    </row>
    <row r="70" spans="1:8" x14ac:dyDescent="0.2">
      <c r="A70">
        <v>952</v>
      </c>
      <c r="B70">
        <v>22300</v>
      </c>
      <c r="C70" t="s">
        <v>460</v>
      </c>
      <c r="D70">
        <v>0</v>
      </c>
      <c r="E70" s="8">
        <v>3272.52</v>
      </c>
      <c r="F70">
        <v>0</v>
      </c>
      <c r="G70">
        <v>4044.69</v>
      </c>
      <c r="H70">
        <v>4044.69</v>
      </c>
    </row>
    <row r="71" spans="1:8" x14ac:dyDescent="0.2">
      <c r="A71">
        <v>952</v>
      </c>
      <c r="B71">
        <v>22400</v>
      </c>
      <c r="C71" t="s">
        <v>461</v>
      </c>
      <c r="D71">
        <v>0</v>
      </c>
      <c r="E71" s="8">
        <v>-360</v>
      </c>
      <c r="F71">
        <v>-350</v>
      </c>
      <c r="G71">
        <v>-333.9</v>
      </c>
      <c r="H71">
        <v>-333.9</v>
      </c>
    </row>
    <row r="72" spans="1:8" x14ac:dyDescent="0.2">
      <c r="A72">
        <v>952</v>
      </c>
      <c r="B72">
        <v>22500</v>
      </c>
      <c r="C72" t="s">
        <v>462</v>
      </c>
      <c r="D72">
        <v>0</v>
      </c>
      <c r="E72" s="8">
        <v>0</v>
      </c>
      <c r="F72">
        <v>0</v>
      </c>
      <c r="G72">
        <v>0</v>
      </c>
      <c r="H72">
        <v>0</v>
      </c>
    </row>
    <row r="73" spans="1:8" x14ac:dyDescent="0.2">
      <c r="A73">
        <v>952</v>
      </c>
      <c r="B73">
        <v>23000</v>
      </c>
      <c r="C73" t="s">
        <v>464</v>
      </c>
      <c r="D73">
        <v>0</v>
      </c>
      <c r="E73" s="8">
        <v>0</v>
      </c>
      <c r="F73">
        <v>0</v>
      </c>
      <c r="G73">
        <v>0</v>
      </c>
      <c r="H73">
        <v>0</v>
      </c>
    </row>
    <row r="74" spans="1:8" x14ac:dyDescent="0.2">
      <c r="A74">
        <v>952</v>
      </c>
      <c r="B74">
        <v>23200</v>
      </c>
      <c r="C74" t="s">
        <v>465</v>
      </c>
      <c r="D74">
        <v>0</v>
      </c>
      <c r="E74" s="8">
        <v>-8834.73</v>
      </c>
      <c r="F74">
        <v>-20000</v>
      </c>
      <c r="G74">
        <v>-19101.32</v>
      </c>
      <c r="H74">
        <v>-19101.32</v>
      </c>
    </row>
    <row r="75" spans="1:8" x14ac:dyDescent="0.2">
      <c r="A75">
        <v>952</v>
      </c>
      <c r="B75">
        <v>23300</v>
      </c>
      <c r="C75" t="s">
        <v>466</v>
      </c>
      <c r="D75">
        <v>587.52</v>
      </c>
      <c r="E75" s="8">
        <v>3801.34</v>
      </c>
      <c r="F75">
        <v>7000</v>
      </c>
      <c r="G75">
        <v>9457.26</v>
      </c>
      <c r="H75">
        <v>9457.26</v>
      </c>
    </row>
    <row r="76" spans="1:8" x14ac:dyDescent="0.2">
      <c r="A76">
        <v>952</v>
      </c>
      <c r="B76">
        <v>23400</v>
      </c>
      <c r="C76" t="s">
        <v>221</v>
      </c>
      <c r="D76">
        <v>-11.22</v>
      </c>
      <c r="E76" s="8">
        <v>-7343.22</v>
      </c>
      <c r="F76">
        <v>-4500</v>
      </c>
      <c r="G76">
        <v>-9633.65</v>
      </c>
      <c r="H76">
        <v>-9633.65</v>
      </c>
    </row>
    <row r="77" spans="1:8" x14ac:dyDescent="0.2">
      <c r="A77">
        <v>952</v>
      </c>
      <c r="B77">
        <v>23500</v>
      </c>
      <c r="C77" t="s">
        <v>222</v>
      </c>
      <c r="D77">
        <v>0</v>
      </c>
      <c r="E77" s="8">
        <v>0</v>
      </c>
      <c r="F77">
        <v>0</v>
      </c>
      <c r="G77">
        <v>563.73</v>
      </c>
      <c r="H77">
        <v>563.73</v>
      </c>
    </row>
    <row r="78" spans="1:8" x14ac:dyDescent="0.2">
      <c r="A78">
        <v>952</v>
      </c>
      <c r="B78">
        <v>23600</v>
      </c>
      <c r="C78" t="s">
        <v>467</v>
      </c>
      <c r="D78">
        <v>0</v>
      </c>
      <c r="E78" s="8">
        <v>0</v>
      </c>
      <c r="F78">
        <v>0</v>
      </c>
      <c r="G78">
        <v>0</v>
      </c>
      <c r="H78">
        <v>0</v>
      </c>
    </row>
    <row r="79" spans="1:8" x14ac:dyDescent="0.2">
      <c r="A79">
        <v>952</v>
      </c>
      <c r="B79">
        <v>23700</v>
      </c>
      <c r="C79" t="s">
        <v>468</v>
      </c>
      <c r="D79">
        <v>0</v>
      </c>
      <c r="E79" s="8">
        <v>0</v>
      </c>
      <c r="F79">
        <v>0</v>
      </c>
      <c r="G79">
        <v>0</v>
      </c>
      <c r="H79">
        <v>0</v>
      </c>
    </row>
    <row r="80" spans="1:8" x14ac:dyDescent="0.2">
      <c r="A80">
        <v>952</v>
      </c>
      <c r="B80">
        <v>24000</v>
      </c>
      <c r="C80" t="s">
        <v>469</v>
      </c>
      <c r="D80">
        <v>0</v>
      </c>
      <c r="E80" s="8">
        <v>0</v>
      </c>
      <c r="F80">
        <v>0</v>
      </c>
      <c r="G80">
        <v>0</v>
      </c>
      <c r="H80">
        <v>0</v>
      </c>
    </row>
    <row r="81" spans="1:8" x14ac:dyDescent="0.2">
      <c r="A81">
        <v>952</v>
      </c>
      <c r="B81">
        <v>24100</v>
      </c>
      <c r="C81" t="s">
        <v>470</v>
      </c>
      <c r="D81">
        <v>0</v>
      </c>
      <c r="E81" s="8">
        <v>0</v>
      </c>
      <c r="F81">
        <v>0</v>
      </c>
      <c r="G81">
        <v>0</v>
      </c>
      <c r="H81">
        <v>0</v>
      </c>
    </row>
    <row r="82" spans="1:8" x14ac:dyDescent="0.2">
      <c r="A82">
        <v>952</v>
      </c>
      <c r="B82">
        <v>24200</v>
      </c>
      <c r="C82" t="s">
        <v>471</v>
      </c>
      <c r="D82">
        <v>0</v>
      </c>
      <c r="E82" s="8">
        <v>-2248.87</v>
      </c>
      <c r="F82">
        <v>-1000</v>
      </c>
      <c r="G82">
        <v>-2466.7199999999998</v>
      </c>
      <c r="H82">
        <v>-2466.7199999999998</v>
      </c>
    </row>
    <row r="83" spans="1:8" x14ac:dyDescent="0.2">
      <c r="A83">
        <v>952</v>
      </c>
      <c r="B83">
        <v>24300</v>
      </c>
      <c r="C83" t="s">
        <v>472</v>
      </c>
      <c r="D83">
        <v>110</v>
      </c>
      <c r="E83" s="8">
        <v>2162.73</v>
      </c>
      <c r="F83">
        <v>1000</v>
      </c>
      <c r="G83">
        <v>1101.8499999999999</v>
      </c>
      <c r="H83">
        <v>1101.8499999999999</v>
      </c>
    </row>
    <row r="84" spans="1:8" x14ac:dyDescent="0.2">
      <c r="A84">
        <v>952</v>
      </c>
      <c r="B84">
        <v>24400</v>
      </c>
      <c r="C84" t="s">
        <v>39</v>
      </c>
      <c r="D84">
        <v>-6611.24</v>
      </c>
      <c r="E84" s="8">
        <v>-37383.79</v>
      </c>
      <c r="F84">
        <v>-7148</v>
      </c>
      <c r="G84">
        <v>-33491.97</v>
      </c>
      <c r="H84">
        <v>-33491.97</v>
      </c>
    </row>
    <row r="85" spans="1:8" x14ac:dyDescent="0.2">
      <c r="A85">
        <v>952</v>
      </c>
      <c r="B85">
        <v>24500</v>
      </c>
      <c r="C85" t="s">
        <v>40</v>
      </c>
      <c r="D85">
        <v>235.61</v>
      </c>
      <c r="E85" s="8">
        <v>1397.65</v>
      </c>
      <c r="F85">
        <v>7148</v>
      </c>
      <c r="G85">
        <v>21817.97</v>
      </c>
      <c r="H85">
        <v>21817.97</v>
      </c>
    </row>
    <row r="86" spans="1:8" x14ac:dyDescent="0.2">
      <c r="A86">
        <v>952</v>
      </c>
      <c r="B86">
        <v>24600</v>
      </c>
      <c r="C86" t="s">
        <v>41</v>
      </c>
      <c r="D86">
        <v>0</v>
      </c>
      <c r="E86" s="8">
        <v>-161.72999999999999</v>
      </c>
      <c r="F86">
        <v>0</v>
      </c>
      <c r="G86">
        <v>0</v>
      </c>
      <c r="H86">
        <v>0</v>
      </c>
    </row>
    <row r="87" spans="1:8" x14ac:dyDescent="0.2">
      <c r="A87">
        <v>952</v>
      </c>
      <c r="B87">
        <v>24650</v>
      </c>
      <c r="C87" t="s">
        <v>42</v>
      </c>
      <c r="D87">
        <v>0</v>
      </c>
      <c r="E87" s="8">
        <v>2718.63</v>
      </c>
      <c r="F87">
        <v>0</v>
      </c>
      <c r="G87">
        <v>38948.78</v>
      </c>
      <c r="H87">
        <v>38948.78</v>
      </c>
    </row>
    <row r="88" spans="1:8" x14ac:dyDescent="0.2">
      <c r="A88">
        <v>952</v>
      </c>
      <c r="B88">
        <v>24700</v>
      </c>
      <c r="C88" t="s">
        <v>43</v>
      </c>
      <c r="D88">
        <v>0</v>
      </c>
      <c r="E88" s="8">
        <v>-173.86</v>
      </c>
      <c r="F88">
        <v>0</v>
      </c>
      <c r="G88">
        <v>0</v>
      </c>
      <c r="H88">
        <v>0</v>
      </c>
    </row>
    <row r="89" spans="1:8" x14ac:dyDescent="0.2">
      <c r="A89">
        <v>952</v>
      </c>
      <c r="B89">
        <v>24750</v>
      </c>
      <c r="C89" t="s">
        <v>44</v>
      </c>
      <c r="D89">
        <v>0</v>
      </c>
      <c r="E89" s="8">
        <v>128.6</v>
      </c>
      <c r="F89">
        <v>0</v>
      </c>
      <c r="G89">
        <v>0</v>
      </c>
      <c r="H89">
        <v>0</v>
      </c>
    </row>
    <row r="90" spans="1:8" x14ac:dyDescent="0.2">
      <c r="A90">
        <v>952</v>
      </c>
      <c r="B90">
        <v>24800</v>
      </c>
      <c r="C90" t="s">
        <v>45</v>
      </c>
      <c r="D90">
        <v>0</v>
      </c>
      <c r="E90" s="8">
        <v>0</v>
      </c>
      <c r="F90">
        <v>0</v>
      </c>
      <c r="G90">
        <v>0</v>
      </c>
      <c r="H90">
        <v>0</v>
      </c>
    </row>
    <row r="91" spans="1:8" x14ac:dyDescent="0.2">
      <c r="A91">
        <v>952</v>
      </c>
      <c r="B91">
        <v>24801</v>
      </c>
      <c r="C91" t="s">
        <v>46</v>
      </c>
      <c r="D91">
        <v>0</v>
      </c>
      <c r="E91" s="8">
        <v>0</v>
      </c>
      <c r="F91">
        <v>0</v>
      </c>
      <c r="G91">
        <v>0</v>
      </c>
      <c r="H91">
        <v>0</v>
      </c>
    </row>
    <row r="92" spans="1:8" x14ac:dyDescent="0.2">
      <c r="A92">
        <v>952</v>
      </c>
      <c r="B92">
        <v>24802</v>
      </c>
      <c r="C92" t="s">
        <v>47</v>
      </c>
      <c r="D92">
        <v>-358.8</v>
      </c>
      <c r="E92" s="8">
        <v>-1405.86</v>
      </c>
      <c r="F92">
        <v>-1500</v>
      </c>
      <c r="G92">
        <v>-1906.06</v>
      </c>
      <c r="H92">
        <v>-1906.06</v>
      </c>
    </row>
    <row r="93" spans="1:8" x14ac:dyDescent="0.2">
      <c r="A93">
        <v>952</v>
      </c>
      <c r="B93">
        <v>24803</v>
      </c>
      <c r="C93" t="s">
        <v>48</v>
      </c>
      <c r="D93">
        <v>0</v>
      </c>
      <c r="E93" s="8">
        <v>35.799999999999997</v>
      </c>
      <c r="F93">
        <v>1500</v>
      </c>
      <c r="G93">
        <v>74</v>
      </c>
      <c r="H93">
        <v>74</v>
      </c>
    </row>
    <row r="94" spans="1:8" x14ac:dyDescent="0.2">
      <c r="A94">
        <v>952</v>
      </c>
      <c r="B94">
        <v>24820</v>
      </c>
      <c r="C94" t="s">
        <v>49</v>
      </c>
      <c r="D94">
        <v>0</v>
      </c>
      <c r="E94" s="8">
        <v>-469.56</v>
      </c>
      <c r="F94">
        <v>-1000</v>
      </c>
      <c r="G94">
        <v>0</v>
      </c>
      <c r="H94">
        <v>0</v>
      </c>
    </row>
    <row r="95" spans="1:8" x14ac:dyDescent="0.2">
      <c r="A95">
        <v>952</v>
      </c>
      <c r="B95">
        <v>24821</v>
      </c>
      <c r="C95" t="s">
        <v>50</v>
      </c>
      <c r="D95">
        <v>0</v>
      </c>
      <c r="E95" s="8">
        <v>228.07</v>
      </c>
      <c r="F95">
        <v>1000</v>
      </c>
      <c r="G95">
        <v>126.6</v>
      </c>
      <c r="H95">
        <v>126.6</v>
      </c>
    </row>
    <row r="96" spans="1:8" x14ac:dyDescent="0.2">
      <c r="A96">
        <v>952</v>
      </c>
      <c r="B96">
        <v>24830</v>
      </c>
      <c r="C96" t="s">
        <v>51</v>
      </c>
      <c r="D96">
        <v>-2045.8</v>
      </c>
      <c r="E96" s="8">
        <v>-29578.98</v>
      </c>
      <c r="F96">
        <v>-14295</v>
      </c>
      <c r="G96">
        <v>-24203.45</v>
      </c>
      <c r="H96">
        <v>-24203.45</v>
      </c>
    </row>
    <row r="97" spans="1:8" x14ac:dyDescent="0.2">
      <c r="A97">
        <v>952</v>
      </c>
      <c r="B97">
        <v>24831</v>
      </c>
      <c r="C97" t="s">
        <v>52</v>
      </c>
      <c r="D97">
        <v>1677.35</v>
      </c>
      <c r="E97" s="8">
        <v>15187.3</v>
      </c>
      <c r="F97">
        <v>14295</v>
      </c>
      <c r="G97">
        <v>17367.91</v>
      </c>
      <c r="H97">
        <v>17367.91</v>
      </c>
    </row>
    <row r="98" spans="1:8" x14ac:dyDescent="0.2">
      <c r="A98">
        <v>952</v>
      </c>
      <c r="B98">
        <v>24840</v>
      </c>
      <c r="C98" t="s">
        <v>53</v>
      </c>
      <c r="D98">
        <v>0</v>
      </c>
      <c r="E98" s="8">
        <v>-792.76</v>
      </c>
      <c r="F98">
        <v>-750</v>
      </c>
      <c r="G98">
        <v>-983.75</v>
      </c>
      <c r="H98">
        <v>-983.75</v>
      </c>
    </row>
    <row r="99" spans="1:8" x14ac:dyDescent="0.2">
      <c r="A99">
        <v>952</v>
      </c>
      <c r="B99">
        <v>24841</v>
      </c>
      <c r="C99" t="s">
        <v>473</v>
      </c>
      <c r="D99">
        <v>0</v>
      </c>
      <c r="E99" s="8">
        <v>272.58999999999997</v>
      </c>
      <c r="F99">
        <v>750</v>
      </c>
      <c r="G99">
        <v>-3525.96</v>
      </c>
      <c r="H99">
        <v>-3525.96</v>
      </c>
    </row>
    <row r="100" spans="1:8" x14ac:dyDescent="0.2">
      <c r="A100">
        <v>952</v>
      </c>
      <c r="B100">
        <v>24850</v>
      </c>
      <c r="C100" t="s">
        <v>54</v>
      </c>
      <c r="D100">
        <v>0</v>
      </c>
      <c r="E100" s="8">
        <v>-1455.82</v>
      </c>
      <c r="F100">
        <v>-1800</v>
      </c>
      <c r="G100">
        <v>-969.86</v>
      </c>
      <c r="H100">
        <v>-969.86</v>
      </c>
    </row>
    <row r="101" spans="1:8" x14ac:dyDescent="0.2">
      <c r="A101">
        <v>952</v>
      </c>
      <c r="B101">
        <v>24851</v>
      </c>
      <c r="C101" t="s">
        <v>64</v>
      </c>
      <c r="D101">
        <v>0</v>
      </c>
      <c r="E101" s="8">
        <v>1132.55</v>
      </c>
      <c r="F101">
        <v>1800</v>
      </c>
      <c r="G101">
        <v>1183.51</v>
      </c>
      <c r="H101">
        <v>1183.51</v>
      </c>
    </row>
    <row r="102" spans="1:8" x14ac:dyDescent="0.2">
      <c r="A102">
        <v>952</v>
      </c>
      <c r="B102">
        <v>24860</v>
      </c>
      <c r="C102" t="s">
        <v>65</v>
      </c>
      <c r="D102">
        <v>-520.95000000000005</v>
      </c>
      <c r="E102" s="8">
        <v>-21233.39</v>
      </c>
      <c r="F102">
        <v>0</v>
      </c>
      <c r="G102">
        <v>-7288.33</v>
      </c>
      <c r="H102">
        <v>-7288.33</v>
      </c>
    </row>
    <row r="103" spans="1:8" x14ac:dyDescent="0.2">
      <c r="A103">
        <v>952</v>
      </c>
      <c r="B103">
        <v>24861</v>
      </c>
      <c r="C103" t="s">
        <v>66</v>
      </c>
      <c r="D103">
        <v>2677.89</v>
      </c>
      <c r="E103" s="8">
        <v>14821.66</v>
      </c>
      <c r="F103">
        <v>0</v>
      </c>
      <c r="G103">
        <v>2554.87</v>
      </c>
      <c r="H103">
        <v>2554.87</v>
      </c>
    </row>
    <row r="104" spans="1:8" x14ac:dyDescent="0.2">
      <c r="A104">
        <v>952</v>
      </c>
      <c r="B104">
        <v>24870</v>
      </c>
      <c r="C104" t="s">
        <v>67</v>
      </c>
      <c r="D104">
        <v>0</v>
      </c>
      <c r="E104" s="8">
        <v>-3956.71</v>
      </c>
      <c r="F104">
        <v>-14713</v>
      </c>
      <c r="G104">
        <v>-5368.76</v>
      </c>
      <c r="H104">
        <v>-5368.76</v>
      </c>
    </row>
    <row r="105" spans="1:8" x14ac:dyDescent="0.2">
      <c r="A105">
        <v>952</v>
      </c>
      <c r="B105">
        <v>24871</v>
      </c>
      <c r="C105" t="s">
        <v>68</v>
      </c>
      <c r="D105">
        <v>0</v>
      </c>
      <c r="E105" s="8">
        <v>855.21</v>
      </c>
      <c r="F105">
        <v>14295</v>
      </c>
      <c r="G105">
        <v>819.68</v>
      </c>
      <c r="H105">
        <v>819.68</v>
      </c>
    </row>
    <row r="106" spans="1:8" x14ac:dyDescent="0.2">
      <c r="A106">
        <v>952</v>
      </c>
      <c r="B106">
        <v>24880</v>
      </c>
      <c r="C106" t="s">
        <v>69</v>
      </c>
      <c r="D106">
        <v>0</v>
      </c>
      <c r="E106" s="8">
        <v>-13905.26</v>
      </c>
      <c r="F106">
        <v>-14295</v>
      </c>
      <c r="G106">
        <v>-15651.21</v>
      </c>
      <c r="H106">
        <v>-15651.21</v>
      </c>
    </row>
    <row r="107" spans="1:8" x14ac:dyDescent="0.2">
      <c r="A107">
        <v>952</v>
      </c>
      <c r="B107">
        <v>24881</v>
      </c>
      <c r="C107" t="s">
        <v>70</v>
      </c>
      <c r="D107">
        <v>2549.65</v>
      </c>
      <c r="E107" s="8">
        <v>13248.84</v>
      </c>
      <c r="F107">
        <v>14295</v>
      </c>
      <c r="G107">
        <v>10763.69</v>
      </c>
      <c r="H107">
        <v>10763.69</v>
      </c>
    </row>
    <row r="108" spans="1:8" x14ac:dyDescent="0.2">
      <c r="A108">
        <v>952</v>
      </c>
      <c r="B108">
        <v>24890</v>
      </c>
      <c r="C108" t="s">
        <v>71</v>
      </c>
      <c r="D108">
        <v>-207.09</v>
      </c>
      <c r="E108" s="8">
        <v>-12568.7</v>
      </c>
      <c r="F108">
        <v>-12734</v>
      </c>
      <c r="G108">
        <v>-12584.72</v>
      </c>
      <c r="H108">
        <v>-12584.72</v>
      </c>
    </row>
    <row r="109" spans="1:8" x14ac:dyDescent="0.2">
      <c r="A109">
        <v>952</v>
      </c>
      <c r="B109">
        <v>24891</v>
      </c>
      <c r="C109" t="s">
        <v>72</v>
      </c>
      <c r="D109">
        <v>2466.34</v>
      </c>
      <c r="E109" s="8">
        <v>14522.72</v>
      </c>
      <c r="F109">
        <v>12734</v>
      </c>
      <c r="G109">
        <v>15412.33</v>
      </c>
      <c r="H109">
        <v>15412.33</v>
      </c>
    </row>
    <row r="110" spans="1:8" x14ac:dyDescent="0.2">
      <c r="A110">
        <v>952</v>
      </c>
      <c r="B110">
        <v>24900</v>
      </c>
      <c r="C110" t="s">
        <v>73</v>
      </c>
      <c r="D110">
        <v>-101.74</v>
      </c>
      <c r="E110" s="8">
        <v>-33616.21</v>
      </c>
      <c r="F110">
        <v>-15091</v>
      </c>
      <c r="G110">
        <v>-12447.34</v>
      </c>
      <c r="H110">
        <v>-12447.34</v>
      </c>
    </row>
    <row r="111" spans="1:8" x14ac:dyDescent="0.2">
      <c r="A111">
        <v>952</v>
      </c>
      <c r="B111">
        <v>24901</v>
      </c>
      <c r="C111" t="s">
        <v>74</v>
      </c>
      <c r="D111">
        <v>2326.81</v>
      </c>
      <c r="E111" s="8">
        <v>25545.62</v>
      </c>
      <c r="F111">
        <v>15091</v>
      </c>
      <c r="G111">
        <v>20363.47</v>
      </c>
      <c r="H111">
        <v>20363.47</v>
      </c>
    </row>
    <row r="112" spans="1:8" s="8" customFormat="1" x14ac:dyDescent="0.2">
      <c r="A112" s="8">
        <v>952</v>
      </c>
      <c r="B112" s="8">
        <v>25100</v>
      </c>
      <c r="C112" s="8" t="s">
        <v>1196</v>
      </c>
      <c r="D112" s="8">
        <v>0</v>
      </c>
      <c r="E112" s="8">
        <v>-120521.74</v>
      </c>
      <c r="F112" s="8">
        <v>-129132</v>
      </c>
      <c r="G112" s="8">
        <v>0</v>
      </c>
      <c r="H112" s="8">
        <v>0</v>
      </c>
    </row>
    <row r="113" spans="1:8" s="8" customFormat="1" x14ac:dyDescent="0.2">
      <c r="A113" s="8">
        <v>952</v>
      </c>
      <c r="B113" s="8">
        <v>25150</v>
      </c>
      <c r="C113" s="8" t="s">
        <v>1197</v>
      </c>
      <c r="D113" s="8">
        <v>18692.25</v>
      </c>
      <c r="E113" s="8">
        <v>145351.99</v>
      </c>
      <c r="F113" s="8">
        <v>129132</v>
      </c>
      <c r="G113" s="8">
        <v>0</v>
      </c>
      <c r="H113" s="8">
        <v>0</v>
      </c>
    </row>
    <row r="114" spans="1:8" x14ac:dyDescent="0.2">
      <c r="A114">
        <v>952</v>
      </c>
      <c r="B114">
        <v>2900</v>
      </c>
      <c r="C114" t="s">
        <v>474</v>
      </c>
      <c r="D114">
        <v>0</v>
      </c>
      <c r="E114" s="8">
        <v>0</v>
      </c>
      <c r="F114">
        <v>0</v>
      </c>
      <c r="G114">
        <v>0</v>
      </c>
      <c r="H114">
        <v>0</v>
      </c>
    </row>
    <row r="115" spans="1:8" x14ac:dyDescent="0.2">
      <c r="A115">
        <v>952</v>
      </c>
      <c r="B115">
        <v>2910</v>
      </c>
      <c r="C115" t="s">
        <v>821</v>
      </c>
      <c r="D115">
        <v>117973.04</v>
      </c>
      <c r="E115" s="8">
        <v>395909.16</v>
      </c>
      <c r="F115">
        <v>303203</v>
      </c>
      <c r="G115">
        <v>372620.19</v>
      </c>
      <c r="H115">
        <v>372620.19</v>
      </c>
    </row>
    <row r="116" spans="1:8" x14ac:dyDescent="0.2">
      <c r="A116">
        <v>952</v>
      </c>
      <c r="B116">
        <v>2920</v>
      </c>
      <c r="C116" t="s">
        <v>223</v>
      </c>
      <c r="D116">
        <v>6179.94</v>
      </c>
      <c r="E116" s="8">
        <v>6179.94</v>
      </c>
      <c r="F116">
        <v>0</v>
      </c>
      <c r="G116">
        <v>7504.83</v>
      </c>
      <c r="H116">
        <v>7504.83</v>
      </c>
    </row>
    <row r="117" spans="1:8" x14ac:dyDescent="0.2">
      <c r="A117">
        <v>952</v>
      </c>
      <c r="B117">
        <v>2930</v>
      </c>
      <c r="C117" t="s">
        <v>224</v>
      </c>
      <c r="D117">
        <v>0</v>
      </c>
      <c r="E117" s="8">
        <v>-1739.13</v>
      </c>
      <c r="F117">
        <v>0</v>
      </c>
      <c r="G117">
        <v>-304.35000000000002</v>
      </c>
      <c r="H117">
        <v>-304.35000000000002</v>
      </c>
    </row>
    <row r="118" spans="1:8" x14ac:dyDescent="0.2">
      <c r="A118">
        <v>952</v>
      </c>
      <c r="B118">
        <v>2990</v>
      </c>
      <c r="C118" t="s">
        <v>475</v>
      </c>
      <c r="D118">
        <v>0</v>
      </c>
      <c r="E118" s="8">
        <v>0</v>
      </c>
      <c r="F118">
        <v>0</v>
      </c>
      <c r="G118">
        <v>0</v>
      </c>
      <c r="H118">
        <v>0</v>
      </c>
    </row>
    <row r="119" spans="1:8" x14ac:dyDescent="0.2">
      <c r="A119">
        <v>952</v>
      </c>
      <c r="B119">
        <v>30100</v>
      </c>
      <c r="C119" t="s">
        <v>477</v>
      </c>
      <c r="D119">
        <v>153.59</v>
      </c>
      <c r="E119" s="8">
        <v>7368.24</v>
      </c>
      <c r="F119">
        <v>4000</v>
      </c>
      <c r="G119">
        <v>4394.17</v>
      </c>
      <c r="H119">
        <v>4394.17</v>
      </c>
    </row>
    <row r="120" spans="1:8" x14ac:dyDescent="0.2">
      <c r="A120">
        <v>952</v>
      </c>
      <c r="B120">
        <v>30120</v>
      </c>
      <c r="C120" t="s">
        <v>478</v>
      </c>
      <c r="D120">
        <v>0</v>
      </c>
      <c r="E120" s="8">
        <v>0</v>
      </c>
      <c r="F120">
        <v>0</v>
      </c>
      <c r="G120">
        <v>0</v>
      </c>
      <c r="H120">
        <v>0</v>
      </c>
    </row>
    <row r="121" spans="1:8" x14ac:dyDescent="0.2">
      <c r="A121">
        <v>952</v>
      </c>
      <c r="B121">
        <v>30230</v>
      </c>
      <c r="C121" t="s">
        <v>479</v>
      </c>
      <c r="D121">
        <v>233.1</v>
      </c>
      <c r="E121" s="8">
        <v>436.49</v>
      </c>
      <c r="F121">
        <v>1000</v>
      </c>
      <c r="G121">
        <v>631.92999999999995</v>
      </c>
      <c r="H121">
        <v>631.92999999999995</v>
      </c>
    </row>
    <row r="122" spans="1:8" x14ac:dyDescent="0.2">
      <c r="A122">
        <v>952</v>
      </c>
      <c r="B122">
        <v>30240</v>
      </c>
      <c r="C122" t="s">
        <v>480</v>
      </c>
      <c r="D122">
        <v>290</v>
      </c>
      <c r="E122" s="8">
        <v>2246.98</v>
      </c>
      <c r="F122">
        <v>1000</v>
      </c>
      <c r="G122">
        <v>703.48</v>
      </c>
      <c r="H122">
        <v>703.48</v>
      </c>
    </row>
    <row r="123" spans="1:8" x14ac:dyDescent="0.2">
      <c r="A123">
        <v>952</v>
      </c>
      <c r="B123">
        <v>30250</v>
      </c>
      <c r="C123" t="s">
        <v>481</v>
      </c>
      <c r="D123">
        <v>397.11</v>
      </c>
      <c r="E123" s="8">
        <v>2509.23</v>
      </c>
      <c r="F123">
        <v>2000</v>
      </c>
      <c r="G123">
        <v>2089.2399999999998</v>
      </c>
      <c r="H123">
        <v>2089.2399999999998</v>
      </c>
    </row>
    <row r="124" spans="1:8" x14ac:dyDescent="0.2">
      <c r="A124">
        <v>952</v>
      </c>
      <c r="B124">
        <v>30330</v>
      </c>
      <c r="C124" t="s">
        <v>482</v>
      </c>
      <c r="D124">
        <v>3325.73</v>
      </c>
      <c r="E124" s="8">
        <v>27123.79</v>
      </c>
      <c r="F124">
        <v>26213</v>
      </c>
      <c r="G124">
        <v>55039.65</v>
      </c>
      <c r="H124">
        <v>55039.65</v>
      </c>
    </row>
    <row r="125" spans="1:8" x14ac:dyDescent="0.2">
      <c r="A125">
        <v>952</v>
      </c>
      <c r="B125">
        <v>30331</v>
      </c>
      <c r="C125" t="s">
        <v>483</v>
      </c>
      <c r="D125">
        <v>0</v>
      </c>
      <c r="E125" s="8">
        <v>0</v>
      </c>
      <c r="F125">
        <v>0</v>
      </c>
      <c r="G125">
        <v>0</v>
      </c>
      <c r="H125">
        <v>0</v>
      </c>
    </row>
    <row r="126" spans="1:8" x14ac:dyDescent="0.2">
      <c r="A126">
        <v>952</v>
      </c>
      <c r="B126">
        <v>30350</v>
      </c>
      <c r="C126" t="s">
        <v>484</v>
      </c>
      <c r="D126">
        <v>1418.13</v>
      </c>
      <c r="E126" s="8">
        <v>17336.009999999998</v>
      </c>
      <c r="F126">
        <v>36632</v>
      </c>
      <c r="G126">
        <v>33981.919999999998</v>
      </c>
      <c r="H126">
        <v>33981.919999999998</v>
      </c>
    </row>
    <row r="127" spans="1:8" x14ac:dyDescent="0.2">
      <c r="A127">
        <v>952</v>
      </c>
      <c r="B127">
        <v>30380</v>
      </c>
      <c r="C127" t="s">
        <v>485</v>
      </c>
      <c r="D127">
        <v>1053938.52</v>
      </c>
      <c r="E127" s="8">
        <v>8755259.5600000005</v>
      </c>
      <c r="F127">
        <v>8370000</v>
      </c>
      <c r="G127">
        <v>8632083.6099999994</v>
      </c>
      <c r="H127">
        <v>8632083.6099999994</v>
      </c>
    </row>
    <row r="128" spans="1:8" x14ac:dyDescent="0.2">
      <c r="A128">
        <v>952</v>
      </c>
      <c r="B128">
        <v>30385</v>
      </c>
      <c r="C128" t="s">
        <v>75</v>
      </c>
      <c r="D128">
        <v>0</v>
      </c>
      <c r="E128" s="8">
        <v>2671.86</v>
      </c>
      <c r="F128">
        <v>0</v>
      </c>
      <c r="G128">
        <v>0</v>
      </c>
      <c r="H128">
        <v>0</v>
      </c>
    </row>
    <row r="129" spans="1:17" x14ac:dyDescent="0.2">
      <c r="A129">
        <v>952</v>
      </c>
      <c r="B129">
        <v>30390</v>
      </c>
      <c r="C129" t="s">
        <v>486</v>
      </c>
      <c r="D129">
        <v>4269.4399999999996</v>
      </c>
      <c r="E129" s="8">
        <v>21269.98</v>
      </c>
      <c r="F129">
        <v>18896</v>
      </c>
      <c r="G129">
        <v>16880.91</v>
      </c>
      <c r="H129">
        <v>16880.91</v>
      </c>
      <c r="K129" s="8"/>
      <c r="L129" s="8"/>
      <c r="M129" s="8"/>
      <c r="N129" s="8"/>
      <c r="O129" s="8"/>
      <c r="P129" s="8"/>
      <c r="Q129" s="8"/>
    </row>
    <row r="130" spans="1:17" s="8" customFormat="1" x14ac:dyDescent="0.2">
      <c r="A130" s="8">
        <v>952</v>
      </c>
      <c r="B130" s="8">
        <v>30395</v>
      </c>
      <c r="C130" s="8" t="s">
        <v>1198</v>
      </c>
      <c r="D130" s="8">
        <v>142.43</v>
      </c>
      <c r="E130" s="8">
        <v>142.43</v>
      </c>
      <c r="F130" s="8">
        <v>2000</v>
      </c>
      <c r="G130" s="8">
        <v>0</v>
      </c>
      <c r="H130" s="8">
        <v>0</v>
      </c>
    </row>
    <row r="131" spans="1:17" x14ac:dyDescent="0.2">
      <c r="A131">
        <v>952</v>
      </c>
      <c r="B131">
        <v>30400</v>
      </c>
      <c r="C131" t="s">
        <v>487</v>
      </c>
      <c r="D131">
        <v>0</v>
      </c>
      <c r="E131" s="8">
        <v>2038.36</v>
      </c>
      <c r="F131">
        <v>4000</v>
      </c>
      <c r="G131">
        <v>5572.85</v>
      </c>
      <c r="H131">
        <v>5572.85</v>
      </c>
      <c r="K131" s="8"/>
      <c r="L131" s="8"/>
      <c r="M131" s="8"/>
      <c r="N131" s="8"/>
      <c r="O131" s="8"/>
      <c r="P131" s="8"/>
      <c r="Q131" s="8"/>
    </row>
    <row r="132" spans="1:17" x14ac:dyDescent="0.2">
      <c r="A132" s="8">
        <v>952</v>
      </c>
      <c r="B132" s="8">
        <v>30401</v>
      </c>
      <c r="C132" s="8" t="s">
        <v>1316</v>
      </c>
      <c r="D132" s="8">
        <v>0</v>
      </c>
      <c r="E132" s="8">
        <v>3000</v>
      </c>
      <c r="F132" s="8">
        <v>0</v>
      </c>
      <c r="G132" s="8">
        <v>0</v>
      </c>
      <c r="H132" s="8">
        <v>0</v>
      </c>
      <c r="K132" s="8"/>
      <c r="L132" s="8"/>
      <c r="M132" s="8"/>
      <c r="N132" s="8"/>
      <c r="O132" s="8"/>
      <c r="P132" s="8"/>
      <c r="Q132" s="8"/>
    </row>
    <row r="133" spans="1:17" x14ac:dyDescent="0.2">
      <c r="A133">
        <v>952</v>
      </c>
      <c r="B133">
        <v>30520</v>
      </c>
      <c r="C133" t="s">
        <v>488</v>
      </c>
      <c r="D133">
        <v>8.41</v>
      </c>
      <c r="E133" s="8">
        <v>8.41</v>
      </c>
      <c r="F133">
        <v>0</v>
      </c>
      <c r="G133">
        <v>0</v>
      </c>
      <c r="H133">
        <v>0</v>
      </c>
      <c r="K133" s="8"/>
      <c r="L133" s="8"/>
      <c r="M133" s="8"/>
      <c r="N133" s="8"/>
      <c r="O133" s="8"/>
      <c r="P133" s="8"/>
      <c r="Q133" s="8"/>
    </row>
    <row r="134" spans="1:17" x14ac:dyDescent="0.2">
      <c r="A134">
        <v>952</v>
      </c>
      <c r="B134">
        <v>30521</v>
      </c>
      <c r="C134" t="s">
        <v>489</v>
      </c>
      <c r="D134">
        <v>691.37</v>
      </c>
      <c r="E134" s="8">
        <v>7285.02</v>
      </c>
      <c r="F134">
        <v>8000</v>
      </c>
      <c r="G134">
        <v>7209.06</v>
      </c>
      <c r="H134">
        <v>7209.06</v>
      </c>
      <c r="K134" s="8"/>
      <c r="L134" s="8"/>
      <c r="M134" s="8"/>
      <c r="N134" s="8"/>
      <c r="O134" s="8"/>
      <c r="P134" s="8"/>
      <c r="Q134" s="8"/>
    </row>
    <row r="135" spans="1:17" x14ac:dyDescent="0.2">
      <c r="A135">
        <v>952</v>
      </c>
      <c r="B135">
        <v>30522</v>
      </c>
      <c r="C135" t="s">
        <v>490</v>
      </c>
      <c r="D135">
        <v>0</v>
      </c>
      <c r="E135" s="8">
        <v>0</v>
      </c>
      <c r="F135">
        <v>0</v>
      </c>
      <c r="G135">
        <v>312.52</v>
      </c>
      <c r="H135">
        <v>312.52</v>
      </c>
    </row>
    <row r="136" spans="1:17" x14ac:dyDescent="0.2">
      <c r="A136">
        <v>952</v>
      </c>
      <c r="B136">
        <v>30525</v>
      </c>
      <c r="C136" t="s">
        <v>491</v>
      </c>
      <c r="D136">
        <v>0</v>
      </c>
      <c r="E136" s="8">
        <v>1699.93</v>
      </c>
      <c r="F136">
        <v>3500</v>
      </c>
      <c r="G136">
        <v>1890.55</v>
      </c>
      <c r="H136">
        <v>1890.55</v>
      </c>
    </row>
    <row r="137" spans="1:17" x14ac:dyDescent="0.2">
      <c r="A137">
        <v>952</v>
      </c>
      <c r="B137">
        <v>30530</v>
      </c>
      <c r="C137" t="s">
        <v>492</v>
      </c>
      <c r="D137">
        <v>0</v>
      </c>
      <c r="E137" s="8">
        <v>0</v>
      </c>
      <c r="F137">
        <v>0</v>
      </c>
      <c r="G137">
        <v>0</v>
      </c>
      <c r="H137">
        <v>0</v>
      </c>
    </row>
    <row r="138" spans="1:17" x14ac:dyDescent="0.2">
      <c r="A138">
        <v>952</v>
      </c>
      <c r="B138">
        <v>30570</v>
      </c>
      <c r="C138" t="s">
        <v>493</v>
      </c>
      <c r="D138">
        <v>192.15</v>
      </c>
      <c r="E138" s="8">
        <v>2084.11</v>
      </c>
      <c r="F138">
        <v>2500</v>
      </c>
      <c r="G138">
        <v>2859.58</v>
      </c>
      <c r="H138">
        <v>2859.58</v>
      </c>
    </row>
    <row r="139" spans="1:17" x14ac:dyDescent="0.2">
      <c r="A139">
        <v>952</v>
      </c>
      <c r="B139">
        <v>30600</v>
      </c>
      <c r="C139" t="s">
        <v>898</v>
      </c>
      <c r="D139">
        <v>0</v>
      </c>
      <c r="E139" s="8">
        <v>1304.3399999999999</v>
      </c>
      <c r="F139">
        <v>2000</v>
      </c>
      <c r="G139">
        <v>2625.19</v>
      </c>
      <c r="H139">
        <v>2625.19</v>
      </c>
    </row>
    <row r="140" spans="1:17" x14ac:dyDescent="0.2">
      <c r="A140">
        <v>952</v>
      </c>
      <c r="B140">
        <v>30610</v>
      </c>
      <c r="C140" t="s">
        <v>494</v>
      </c>
      <c r="D140">
        <v>0</v>
      </c>
      <c r="E140" s="8">
        <v>7050.84</v>
      </c>
      <c r="F140">
        <v>16860</v>
      </c>
      <c r="G140">
        <v>4351.3100000000004</v>
      </c>
      <c r="H140">
        <v>4351.3100000000004</v>
      </c>
    </row>
    <row r="141" spans="1:17" x14ac:dyDescent="0.2">
      <c r="A141">
        <v>952</v>
      </c>
      <c r="B141">
        <v>30660</v>
      </c>
      <c r="C141" t="s">
        <v>495</v>
      </c>
      <c r="D141">
        <v>33.04</v>
      </c>
      <c r="E141" s="8">
        <v>326.44</v>
      </c>
      <c r="F141">
        <v>3671</v>
      </c>
      <c r="G141">
        <v>619.66999999999996</v>
      </c>
      <c r="H141">
        <v>619.66999999999996</v>
      </c>
    </row>
    <row r="142" spans="1:17" x14ac:dyDescent="0.2">
      <c r="A142">
        <v>952</v>
      </c>
      <c r="B142">
        <v>30690</v>
      </c>
      <c r="C142" t="s">
        <v>496</v>
      </c>
      <c r="D142">
        <v>570.92999999999995</v>
      </c>
      <c r="E142" s="8">
        <v>16553.86</v>
      </c>
      <c r="F142">
        <v>0</v>
      </c>
      <c r="G142">
        <v>23373.040000000001</v>
      </c>
      <c r="H142">
        <v>23373.040000000001</v>
      </c>
      <c r="N142" s="8"/>
    </row>
    <row r="143" spans="1:17" x14ac:dyDescent="0.2">
      <c r="A143">
        <v>952</v>
      </c>
      <c r="B143">
        <v>30691</v>
      </c>
      <c r="C143" t="s">
        <v>1021</v>
      </c>
      <c r="D143">
        <v>0</v>
      </c>
      <c r="E143" s="8">
        <v>0</v>
      </c>
      <c r="F143">
        <v>0</v>
      </c>
      <c r="G143">
        <v>0</v>
      </c>
      <c r="H143">
        <v>0</v>
      </c>
      <c r="N143" s="8"/>
    </row>
    <row r="144" spans="1:17" x14ac:dyDescent="0.2">
      <c r="A144">
        <v>952</v>
      </c>
      <c r="B144">
        <v>30695</v>
      </c>
      <c r="C144" t="s">
        <v>497</v>
      </c>
      <c r="D144">
        <v>122.58</v>
      </c>
      <c r="E144" s="8">
        <v>1012.72</v>
      </c>
      <c r="F144">
        <v>1000</v>
      </c>
      <c r="G144">
        <v>3351.57</v>
      </c>
      <c r="H144">
        <v>3351.57</v>
      </c>
      <c r="N144" s="8"/>
    </row>
    <row r="145" spans="1:15" x14ac:dyDescent="0.2">
      <c r="A145">
        <v>952</v>
      </c>
      <c r="B145">
        <v>30700</v>
      </c>
      <c r="C145" t="s">
        <v>498</v>
      </c>
      <c r="D145">
        <v>0</v>
      </c>
      <c r="E145" s="8">
        <v>1000.83</v>
      </c>
      <c r="F145">
        <v>1200</v>
      </c>
      <c r="G145">
        <v>1402.35</v>
      </c>
      <c r="H145">
        <v>1402.35</v>
      </c>
      <c r="N145" s="8"/>
    </row>
    <row r="146" spans="1:15" x14ac:dyDescent="0.2">
      <c r="A146">
        <v>952</v>
      </c>
      <c r="B146">
        <v>30705</v>
      </c>
      <c r="C146" t="s">
        <v>499</v>
      </c>
      <c r="D146">
        <v>0</v>
      </c>
      <c r="E146" s="8">
        <v>336</v>
      </c>
      <c r="F146">
        <v>350</v>
      </c>
      <c r="G146">
        <v>290.52</v>
      </c>
      <c r="H146">
        <v>290.52</v>
      </c>
    </row>
    <row r="147" spans="1:15" x14ac:dyDescent="0.2">
      <c r="A147">
        <v>952</v>
      </c>
      <c r="B147">
        <v>30710</v>
      </c>
      <c r="C147" t="s">
        <v>879</v>
      </c>
      <c r="D147">
        <v>0</v>
      </c>
      <c r="E147" s="8">
        <v>504.35</v>
      </c>
      <c r="F147">
        <v>796</v>
      </c>
      <c r="G147">
        <v>649.48</v>
      </c>
      <c r="H147">
        <v>649.48</v>
      </c>
      <c r="K147" s="8"/>
      <c r="L147" s="8"/>
      <c r="M147" s="8"/>
      <c r="N147" s="8"/>
      <c r="O147" s="8"/>
    </row>
    <row r="148" spans="1:15" x14ac:dyDescent="0.2">
      <c r="A148">
        <v>952</v>
      </c>
      <c r="B148">
        <v>30715</v>
      </c>
      <c r="C148" s="8" t="s">
        <v>500</v>
      </c>
      <c r="D148">
        <v>0</v>
      </c>
      <c r="E148" s="8">
        <v>0</v>
      </c>
      <c r="F148">
        <v>0</v>
      </c>
      <c r="G148">
        <v>0</v>
      </c>
      <c r="H148">
        <v>0</v>
      </c>
    </row>
    <row r="149" spans="1:15" x14ac:dyDescent="0.2">
      <c r="A149">
        <v>952</v>
      </c>
      <c r="B149">
        <v>31010</v>
      </c>
      <c r="C149" s="8" t="s">
        <v>501</v>
      </c>
      <c r="D149">
        <v>0</v>
      </c>
      <c r="E149" s="8">
        <v>782.61</v>
      </c>
      <c r="F149">
        <v>3000</v>
      </c>
      <c r="G149">
        <v>652.16999999999996</v>
      </c>
      <c r="H149">
        <v>652.16999999999996</v>
      </c>
    </row>
    <row r="150" spans="1:15" x14ac:dyDescent="0.2">
      <c r="A150">
        <v>952</v>
      </c>
      <c r="B150">
        <v>31040</v>
      </c>
      <c r="C150" s="8" t="s">
        <v>502</v>
      </c>
      <c r="D150">
        <v>0</v>
      </c>
      <c r="E150" s="8">
        <v>0</v>
      </c>
      <c r="F150">
        <v>250</v>
      </c>
      <c r="G150">
        <v>59.51</v>
      </c>
      <c r="H150">
        <v>59.51</v>
      </c>
    </row>
    <row r="151" spans="1:15" x14ac:dyDescent="0.2">
      <c r="A151">
        <v>952</v>
      </c>
      <c r="B151">
        <v>31045</v>
      </c>
      <c r="C151" s="8" t="s">
        <v>503</v>
      </c>
      <c r="D151">
        <v>0</v>
      </c>
      <c r="E151" s="8">
        <v>0</v>
      </c>
      <c r="F151">
        <v>0</v>
      </c>
      <c r="G151">
        <v>0</v>
      </c>
      <c r="H151">
        <v>0</v>
      </c>
    </row>
    <row r="152" spans="1:15" x14ac:dyDescent="0.2">
      <c r="A152">
        <v>952</v>
      </c>
      <c r="B152">
        <v>31050</v>
      </c>
      <c r="C152" t="s">
        <v>504</v>
      </c>
      <c r="D152">
        <v>0</v>
      </c>
      <c r="E152" s="8">
        <v>0</v>
      </c>
      <c r="F152">
        <v>800</v>
      </c>
      <c r="G152">
        <v>397.61</v>
      </c>
      <c r="H152">
        <v>397.61</v>
      </c>
    </row>
    <row r="153" spans="1:15" x14ac:dyDescent="0.2">
      <c r="A153">
        <v>952</v>
      </c>
      <c r="B153">
        <v>32000</v>
      </c>
      <c r="C153" t="s">
        <v>914</v>
      </c>
      <c r="D153">
        <v>983.18</v>
      </c>
      <c r="E153" s="8">
        <v>6163.1</v>
      </c>
      <c r="F153">
        <v>8000</v>
      </c>
      <c r="G153">
        <v>8838.42</v>
      </c>
      <c r="H153">
        <v>8838.42</v>
      </c>
    </row>
    <row r="154" spans="1:15" x14ac:dyDescent="0.2">
      <c r="A154">
        <v>952</v>
      </c>
      <c r="B154">
        <v>32010</v>
      </c>
      <c r="C154" t="s">
        <v>934</v>
      </c>
      <c r="D154">
        <v>0</v>
      </c>
      <c r="E154" s="8">
        <v>318.04000000000002</v>
      </c>
      <c r="F154">
        <v>500</v>
      </c>
      <c r="G154">
        <v>102.61</v>
      </c>
      <c r="H154">
        <v>102.61</v>
      </c>
    </row>
    <row r="155" spans="1:15" x14ac:dyDescent="0.2">
      <c r="A155">
        <v>952</v>
      </c>
      <c r="B155">
        <v>32020</v>
      </c>
      <c r="C155" t="s">
        <v>828</v>
      </c>
      <c r="D155">
        <v>108.59</v>
      </c>
      <c r="E155" s="8">
        <v>2121.86</v>
      </c>
      <c r="F155">
        <v>3000</v>
      </c>
      <c r="G155">
        <v>4774.99</v>
      </c>
      <c r="H155">
        <v>4774.99</v>
      </c>
    </row>
    <row r="156" spans="1:15" x14ac:dyDescent="0.2">
      <c r="A156">
        <v>952</v>
      </c>
      <c r="B156">
        <v>32030</v>
      </c>
      <c r="C156" t="s">
        <v>505</v>
      </c>
      <c r="D156">
        <v>0</v>
      </c>
      <c r="E156" s="8">
        <v>8574.34</v>
      </c>
      <c r="F156">
        <v>20000</v>
      </c>
      <c r="G156">
        <v>15710.27</v>
      </c>
      <c r="H156">
        <v>15710.27</v>
      </c>
    </row>
    <row r="157" spans="1:15" x14ac:dyDescent="0.2">
      <c r="A157">
        <v>952</v>
      </c>
      <c r="B157">
        <v>32040</v>
      </c>
      <c r="C157" t="s">
        <v>506</v>
      </c>
      <c r="D157">
        <v>0</v>
      </c>
      <c r="E157" s="8">
        <v>0</v>
      </c>
      <c r="F157">
        <v>0</v>
      </c>
      <c r="G157">
        <v>4.66</v>
      </c>
      <c r="H157">
        <v>4.66</v>
      </c>
    </row>
    <row r="158" spans="1:15" x14ac:dyDescent="0.2">
      <c r="A158">
        <v>952</v>
      </c>
      <c r="B158">
        <v>32050</v>
      </c>
      <c r="C158" t="s">
        <v>1082</v>
      </c>
      <c r="D158">
        <v>552.57000000000005</v>
      </c>
      <c r="E158" s="8">
        <v>1526.3</v>
      </c>
      <c r="F158">
        <v>5500</v>
      </c>
      <c r="G158">
        <v>5950.21</v>
      </c>
      <c r="H158">
        <v>5950.21</v>
      </c>
    </row>
    <row r="159" spans="1:15" x14ac:dyDescent="0.2">
      <c r="A159">
        <v>952</v>
      </c>
      <c r="B159">
        <v>32060</v>
      </c>
      <c r="C159" t="s">
        <v>1083</v>
      </c>
      <c r="D159">
        <v>0</v>
      </c>
      <c r="E159" s="8">
        <v>19.71</v>
      </c>
      <c r="F159">
        <v>1000</v>
      </c>
      <c r="G159">
        <v>88.44</v>
      </c>
      <c r="H159">
        <v>88.44</v>
      </c>
    </row>
    <row r="160" spans="1:15" x14ac:dyDescent="0.2">
      <c r="A160">
        <v>952</v>
      </c>
      <c r="B160">
        <v>32070</v>
      </c>
      <c r="C160" t="s">
        <v>76</v>
      </c>
      <c r="D160">
        <v>0</v>
      </c>
      <c r="E160" s="8">
        <v>-217.39</v>
      </c>
      <c r="F160">
        <v>3000</v>
      </c>
      <c r="G160">
        <v>2507.5100000000002</v>
      </c>
      <c r="H160">
        <v>2507.5100000000002</v>
      </c>
    </row>
    <row r="161" spans="1:13" x14ac:dyDescent="0.2">
      <c r="A161">
        <v>952</v>
      </c>
      <c r="B161">
        <v>32080</v>
      </c>
      <c r="C161" t="s">
        <v>828</v>
      </c>
      <c r="D161">
        <v>738.95</v>
      </c>
      <c r="E161" s="8">
        <v>708.52</v>
      </c>
      <c r="F161">
        <v>1000</v>
      </c>
      <c r="G161">
        <v>2174.1</v>
      </c>
      <c r="H161">
        <v>2174.1</v>
      </c>
    </row>
    <row r="162" spans="1:13" x14ac:dyDescent="0.2">
      <c r="A162">
        <v>952</v>
      </c>
      <c r="B162">
        <v>32090</v>
      </c>
      <c r="C162" t="s">
        <v>1081</v>
      </c>
      <c r="D162">
        <v>0</v>
      </c>
      <c r="E162" s="8">
        <v>0</v>
      </c>
      <c r="F162">
        <v>0</v>
      </c>
      <c r="G162">
        <v>0</v>
      </c>
      <c r="H162">
        <v>0</v>
      </c>
    </row>
    <row r="163" spans="1:13" x14ac:dyDescent="0.2">
      <c r="A163">
        <v>952</v>
      </c>
      <c r="B163">
        <v>32100</v>
      </c>
      <c r="C163" t="s">
        <v>505</v>
      </c>
      <c r="D163">
        <v>0</v>
      </c>
      <c r="E163" s="8">
        <v>0</v>
      </c>
      <c r="F163">
        <v>0</v>
      </c>
      <c r="G163">
        <v>0</v>
      </c>
      <c r="H163">
        <v>0</v>
      </c>
    </row>
    <row r="164" spans="1:13" x14ac:dyDescent="0.2">
      <c r="A164">
        <v>952</v>
      </c>
      <c r="B164">
        <v>33010</v>
      </c>
      <c r="C164" t="s">
        <v>507</v>
      </c>
      <c r="D164">
        <v>33442.46</v>
      </c>
      <c r="E164" s="8">
        <v>218243.33</v>
      </c>
      <c r="F164">
        <v>260239</v>
      </c>
      <c r="G164">
        <v>197138.61</v>
      </c>
      <c r="H164">
        <v>197138.61</v>
      </c>
    </row>
    <row r="165" spans="1:13" x14ac:dyDescent="0.2">
      <c r="A165" s="8">
        <v>952</v>
      </c>
      <c r="B165" s="8">
        <v>33015</v>
      </c>
      <c r="C165" s="8" t="s">
        <v>1317</v>
      </c>
      <c r="D165" s="8">
        <v>0</v>
      </c>
      <c r="E165" s="8">
        <v>0</v>
      </c>
      <c r="F165" s="8">
        <v>0</v>
      </c>
      <c r="G165" s="8">
        <v>0</v>
      </c>
      <c r="H165" s="8">
        <v>0</v>
      </c>
    </row>
    <row r="166" spans="1:13" x14ac:dyDescent="0.2">
      <c r="A166">
        <v>952</v>
      </c>
      <c r="B166">
        <v>33020</v>
      </c>
      <c r="C166" t="s">
        <v>508</v>
      </c>
      <c r="D166">
        <v>0</v>
      </c>
      <c r="E166" s="8">
        <v>0</v>
      </c>
      <c r="F166">
        <v>1276</v>
      </c>
      <c r="G166">
        <v>1632.02</v>
      </c>
      <c r="H166">
        <v>1632.02</v>
      </c>
    </row>
    <row r="167" spans="1:13" x14ac:dyDescent="0.2">
      <c r="A167">
        <v>952</v>
      </c>
      <c r="B167">
        <v>33040</v>
      </c>
      <c r="C167" t="s">
        <v>509</v>
      </c>
      <c r="D167">
        <v>245</v>
      </c>
      <c r="E167" s="8">
        <v>1094.48</v>
      </c>
      <c r="F167">
        <v>500</v>
      </c>
      <c r="G167">
        <v>237</v>
      </c>
      <c r="H167">
        <v>237</v>
      </c>
    </row>
    <row r="168" spans="1:13" x14ac:dyDescent="0.2">
      <c r="A168">
        <v>952</v>
      </c>
      <c r="B168">
        <v>33050</v>
      </c>
      <c r="C168" t="s">
        <v>510</v>
      </c>
      <c r="D168">
        <v>0</v>
      </c>
      <c r="E168" s="8">
        <v>210</v>
      </c>
      <c r="F168">
        <v>850</v>
      </c>
      <c r="G168">
        <v>439.13</v>
      </c>
      <c r="H168">
        <v>439.13</v>
      </c>
      <c r="M168" s="8"/>
    </row>
    <row r="169" spans="1:13" x14ac:dyDescent="0.2">
      <c r="A169">
        <v>952</v>
      </c>
      <c r="B169">
        <v>33070</v>
      </c>
      <c r="C169" t="s">
        <v>511</v>
      </c>
      <c r="D169">
        <v>104.57</v>
      </c>
      <c r="E169" s="8">
        <v>129.87</v>
      </c>
      <c r="F169">
        <v>500</v>
      </c>
      <c r="G169">
        <v>367.77</v>
      </c>
      <c r="H169">
        <v>367.77</v>
      </c>
      <c r="M169" s="8"/>
    </row>
    <row r="170" spans="1:13" x14ac:dyDescent="0.2">
      <c r="A170">
        <v>952</v>
      </c>
      <c r="B170">
        <v>33220</v>
      </c>
      <c r="C170" t="s">
        <v>491</v>
      </c>
      <c r="D170">
        <v>0</v>
      </c>
      <c r="E170" s="8">
        <v>0</v>
      </c>
      <c r="F170">
        <v>0</v>
      </c>
      <c r="G170">
        <v>0</v>
      </c>
      <c r="H170">
        <v>0</v>
      </c>
      <c r="M170" s="8"/>
    </row>
    <row r="171" spans="1:13" x14ac:dyDescent="0.2">
      <c r="A171">
        <v>952</v>
      </c>
      <c r="B171">
        <v>33285</v>
      </c>
      <c r="C171" t="s">
        <v>512</v>
      </c>
      <c r="D171">
        <v>1258.49</v>
      </c>
      <c r="E171" s="8">
        <v>6265.61</v>
      </c>
      <c r="F171">
        <v>7420</v>
      </c>
      <c r="G171">
        <v>6901.96</v>
      </c>
      <c r="H171">
        <v>6901.96</v>
      </c>
      <c r="M171" s="8"/>
    </row>
    <row r="172" spans="1:13" x14ac:dyDescent="0.2">
      <c r="A172">
        <v>952</v>
      </c>
      <c r="B172">
        <v>33290</v>
      </c>
      <c r="C172" t="s">
        <v>513</v>
      </c>
      <c r="D172">
        <v>0</v>
      </c>
      <c r="E172" s="8">
        <v>20</v>
      </c>
      <c r="F172">
        <v>200</v>
      </c>
      <c r="G172">
        <v>0</v>
      </c>
      <c r="H172">
        <v>0</v>
      </c>
      <c r="M172" s="8"/>
    </row>
    <row r="173" spans="1:13" x14ac:dyDescent="0.2">
      <c r="A173">
        <v>952</v>
      </c>
      <c r="B173">
        <v>33295</v>
      </c>
      <c r="C173" t="s">
        <v>514</v>
      </c>
      <c r="D173">
        <v>0</v>
      </c>
      <c r="E173" s="8">
        <v>0</v>
      </c>
      <c r="F173">
        <v>200</v>
      </c>
      <c r="G173">
        <v>0</v>
      </c>
      <c r="H173">
        <v>0</v>
      </c>
      <c r="M173" s="8"/>
    </row>
    <row r="174" spans="1:13" x14ac:dyDescent="0.2">
      <c r="A174">
        <v>952</v>
      </c>
      <c r="B174">
        <v>33310</v>
      </c>
      <c r="C174" t="s">
        <v>515</v>
      </c>
      <c r="D174">
        <v>0</v>
      </c>
      <c r="E174" s="8">
        <v>0</v>
      </c>
      <c r="F174">
        <v>0</v>
      </c>
      <c r="G174">
        <v>0</v>
      </c>
      <c r="H174">
        <v>0</v>
      </c>
    </row>
    <row r="175" spans="1:13" x14ac:dyDescent="0.2">
      <c r="A175">
        <v>952</v>
      </c>
      <c r="B175">
        <v>33400</v>
      </c>
      <c r="C175" t="s">
        <v>516</v>
      </c>
      <c r="D175">
        <v>272.89</v>
      </c>
      <c r="E175" s="8">
        <v>1498.89</v>
      </c>
      <c r="F175">
        <v>4500</v>
      </c>
      <c r="G175">
        <v>1771.88</v>
      </c>
      <c r="H175">
        <v>1771.88</v>
      </c>
    </row>
    <row r="176" spans="1:13" x14ac:dyDescent="0.2">
      <c r="A176">
        <v>952</v>
      </c>
      <c r="B176">
        <v>33410</v>
      </c>
      <c r="C176" t="s">
        <v>517</v>
      </c>
      <c r="D176">
        <v>43.48</v>
      </c>
      <c r="E176" s="8">
        <v>395.25</v>
      </c>
      <c r="F176">
        <v>730</v>
      </c>
      <c r="G176">
        <v>607.17999999999995</v>
      </c>
      <c r="H176">
        <v>607.17999999999995</v>
      </c>
    </row>
    <row r="177" spans="1:8" x14ac:dyDescent="0.2">
      <c r="A177">
        <v>952</v>
      </c>
      <c r="B177">
        <v>33420</v>
      </c>
      <c r="C177" t="s">
        <v>518</v>
      </c>
      <c r="D177">
        <v>92.5</v>
      </c>
      <c r="E177" s="8">
        <v>829.03</v>
      </c>
      <c r="F177">
        <v>2000</v>
      </c>
      <c r="G177">
        <v>251.48</v>
      </c>
      <c r="H177">
        <v>251.48</v>
      </c>
    </row>
    <row r="178" spans="1:8" x14ac:dyDescent="0.2">
      <c r="A178">
        <v>952</v>
      </c>
      <c r="B178">
        <v>33430</v>
      </c>
      <c r="C178" t="s">
        <v>519</v>
      </c>
      <c r="D178">
        <v>0</v>
      </c>
      <c r="E178" s="8">
        <v>6382</v>
      </c>
      <c r="F178">
        <v>6382</v>
      </c>
      <c r="G178">
        <v>6580</v>
      </c>
      <c r="H178">
        <v>6580</v>
      </c>
    </row>
    <row r="179" spans="1:8" x14ac:dyDescent="0.2">
      <c r="A179">
        <v>952</v>
      </c>
      <c r="B179">
        <v>33440</v>
      </c>
      <c r="C179" t="s">
        <v>520</v>
      </c>
      <c r="D179">
        <v>0</v>
      </c>
      <c r="E179" s="8">
        <v>1986.25</v>
      </c>
      <c r="F179">
        <v>2874</v>
      </c>
      <c r="G179">
        <v>3341.81</v>
      </c>
      <c r="H179">
        <v>3341.81</v>
      </c>
    </row>
    <row r="180" spans="1:8" x14ac:dyDescent="0.2">
      <c r="A180">
        <v>952</v>
      </c>
      <c r="B180">
        <v>33450</v>
      </c>
      <c r="C180" t="s">
        <v>521</v>
      </c>
      <c r="D180">
        <v>4875.01</v>
      </c>
      <c r="E180" s="8">
        <v>30277.06</v>
      </c>
      <c r="F180">
        <v>39000</v>
      </c>
      <c r="G180">
        <v>29140.22</v>
      </c>
      <c r="H180">
        <v>29140.22</v>
      </c>
    </row>
    <row r="181" spans="1:8" x14ac:dyDescent="0.2">
      <c r="A181">
        <v>952</v>
      </c>
      <c r="B181">
        <v>33460</v>
      </c>
      <c r="C181" t="s">
        <v>522</v>
      </c>
      <c r="D181">
        <v>7280</v>
      </c>
      <c r="E181" s="8">
        <v>40144</v>
      </c>
      <c r="F181">
        <v>39000</v>
      </c>
      <c r="G181">
        <v>32493.93</v>
      </c>
      <c r="H181">
        <v>32493.93</v>
      </c>
    </row>
    <row r="182" spans="1:8" x14ac:dyDescent="0.2">
      <c r="A182">
        <v>952</v>
      </c>
      <c r="B182">
        <v>33470</v>
      </c>
      <c r="C182" t="s">
        <v>523</v>
      </c>
      <c r="D182">
        <v>6597.5</v>
      </c>
      <c r="E182" s="8">
        <v>38961.01</v>
      </c>
      <c r="F182">
        <v>39000</v>
      </c>
      <c r="G182">
        <v>36244.870000000003</v>
      </c>
      <c r="H182">
        <v>36244.870000000003</v>
      </c>
    </row>
    <row r="183" spans="1:8" x14ac:dyDescent="0.2">
      <c r="A183">
        <v>952</v>
      </c>
      <c r="B183">
        <v>33475</v>
      </c>
      <c r="C183" t="s">
        <v>524</v>
      </c>
      <c r="D183">
        <v>0</v>
      </c>
      <c r="E183" s="8">
        <v>0</v>
      </c>
      <c r="F183">
        <v>0</v>
      </c>
      <c r="G183">
        <v>0</v>
      </c>
      <c r="H183">
        <v>0</v>
      </c>
    </row>
    <row r="184" spans="1:8" x14ac:dyDescent="0.2">
      <c r="A184">
        <v>952</v>
      </c>
      <c r="B184">
        <v>33480</v>
      </c>
      <c r="C184" t="s">
        <v>525</v>
      </c>
      <c r="D184">
        <v>0</v>
      </c>
      <c r="E184" s="8">
        <v>1911.12</v>
      </c>
      <c r="F184">
        <v>9000</v>
      </c>
      <c r="G184">
        <v>700.02</v>
      </c>
      <c r="H184">
        <v>700.02</v>
      </c>
    </row>
    <row r="185" spans="1:8" x14ac:dyDescent="0.2">
      <c r="A185">
        <v>952</v>
      </c>
      <c r="B185">
        <v>33495</v>
      </c>
      <c r="C185" t="s">
        <v>526</v>
      </c>
      <c r="D185">
        <v>0</v>
      </c>
      <c r="E185" s="8">
        <v>0</v>
      </c>
      <c r="F185">
        <v>0</v>
      </c>
      <c r="G185">
        <v>0</v>
      </c>
      <c r="H185">
        <v>0</v>
      </c>
    </row>
    <row r="186" spans="1:8" x14ac:dyDescent="0.2">
      <c r="A186">
        <v>952</v>
      </c>
      <c r="B186">
        <v>33500</v>
      </c>
      <c r="C186" t="s">
        <v>527</v>
      </c>
      <c r="D186">
        <v>0</v>
      </c>
      <c r="E186" s="8">
        <v>6519.59</v>
      </c>
      <c r="F186">
        <v>20500</v>
      </c>
      <c r="G186">
        <v>5137.8999999999996</v>
      </c>
      <c r="H186">
        <v>5137.8999999999996</v>
      </c>
    </row>
    <row r="187" spans="1:8" x14ac:dyDescent="0.2">
      <c r="A187">
        <v>952</v>
      </c>
      <c r="B187">
        <v>33502</v>
      </c>
      <c r="C187" t="s">
        <v>528</v>
      </c>
      <c r="D187">
        <v>0</v>
      </c>
      <c r="E187" s="8">
        <v>0</v>
      </c>
      <c r="F187">
        <v>0</v>
      </c>
      <c r="G187">
        <v>0</v>
      </c>
      <c r="H187">
        <v>0</v>
      </c>
    </row>
    <row r="188" spans="1:8" x14ac:dyDescent="0.2">
      <c r="A188">
        <v>952</v>
      </c>
      <c r="B188">
        <v>33510</v>
      </c>
      <c r="C188" t="s">
        <v>529</v>
      </c>
      <c r="D188">
        <v>0</v>
      </c>
      <c r="E188" s="8">
        <v>0</v>
      </c>
      <c r="F188">
        <v>0</v>
      </c>
      <c r="G188">
        <v>0</v>
      </c>
      <c r="H188">
        <v>0</v>
      </c>
    </row>
    <row r="189" spans="1:8" x14ac:dyDescent="0.2">
      <c r="A189">
        <v>952</v>
      </c>
      <c r="B189">
        <v>33512</v>
      </c>
      <c r="C189" t="s">
        <v>530</v>
      </c>
      <c r="D189">
        <v>0</v>
      </c>
      <c r="E189" s="8">
        <v>2269.56</v>
      </c>
      <c r="F189">
        <v>0</v>
      </c>
      <c r="G189">
        <v>1260</v>
      </c>
      <c r="H189">
        <v>1260</v>
      </c>
    </row>
    <row r="190" spans="1:8" x14ac:dyDescent="0.2">
      <c r="A190">
        <v>952</v>
      </c>
      <c r="B190">
        <v>33515</v>
      </c>
      <c r="C190" t="s">
        <v>531</v>
      </c>
      <c r="D190">
        <v>0</v>
      </c>
      <c r="E190" s="8">
        <v>0</v>
      </c>
      <c r="F190">
        <v>0</v>
      </c>
      <c r="G190">
        <v>0</v>
      </c>
      <c r="H190">
        <v>0</v>
      </c>
    </row>
    <row r="191" spans="1:8" x14ac:dyDescent="0.2">
      <c r="A191">
        <v>952</v>
      </c>
      <c r="B191">
        <v>33520</v>
      </c>
      <c r="C191" t="s">
        <v>532</v>
      </c>
      <c r="D191">
        <v>0</v>
      </c>
      <c r="E191" s="8">
        <v>4713.0200000000004</v>
      </c>
      <c r="F191">
        <v>5000</v>
      </c>
      <c r="G191">
        <v>3535.55</v>
      </c>
      <c r="H191">
        <v>3535.55</v>
      </c>
    </row>
    <row r="192" spans="1:8" x14ac:dyDescent="0.2">
      <c r="A192">
        <v>952</v>
      </c>
      <c r="B192">
        <v>33525</v>
      </c>
      <c r="C192" t="s">
        <v>533</v>
      </c>
      <c r="D192">
        <v>5082.3599999999997</v>
      </c>
      <c r="E192" s="8">
        <v>41139.94</v>
      </c>
      <c r="F192">
        <v>41860</v>
      </c>
      <c r="G192">
        <v>40907.57</v>
      </c>
      <c r="H192">
        <v>40907.57</v>
      </c>
    </row>
    <row r="193" spans="1:14" x14ac:dyDescent="0.2">
      <c r="A193">
        <v>952</v>
      </c>
      <c r="B193">
        <v>33530</v>
      </c>
      <c r="C193" t="s">
        <v>534</v>
      </c>
      <c r="D193">
        <v>0</v>
      </c>
      <c r="E193" s="8">
        <v>0</v>
      </c>
      <c r="F193">
        <v>0</v>
      </c>
      <c r="G193">
        <v>0</v>
      </c>
      <c r="H193">
        <v>0</v>
      </c>
    </row>
    <row r="194" spans="1:14" x14ac:dyDescent="0.2">
      <c r="A194">
        <v>952</v>
      </c>
      <c r="B194">
        <v>33540</v>
      </c>
      <c r="C194" t="s">
        <v>535</v>
      </c>
      <c r="D194">
        <v>0</v>
      </c>
      <c r="E194" s="8">
        <v>300</v>
      </c>
      <c r="F194">
        <v>500</v>
      </c>
      <c r="G194">
        <v>0</v>
      </c>
      <c r="H194">
        <v>0</v>
      </c>
    </row>
    <row r="195" spans="1:14" x14ac:dyDescent="0.2">
      <c r="A195">
        <v>952</v>
      </c>
      <c r="B195">
        <v>33550</v>
      </c>
      <c r="C195" t="s">
        <v>536</v>
      </c>
      <c r="D195">
        <v>-77.38</v>
      </c>
      <c r="E195" s="8">
        <v>-77.38</v>
      </c>
      <c r="F195">
        <v>12208</v>
      </c>
      <c r="G195">
        <v>14553.57</v>
      </c>
      <c r="H195">
        <v>14553.57</v>
      </c>
      <c r="J195" s="8"/>
      <c r="K195" s="8"/>
      <c r="L195" s="8"/>
      <c r="M195" s="8"/>
      <c r="N195" s="8"/>
    </row>
    <row r="196" spans="1:14" x14ac:dyDescent="0.2">
      <c r="A196">
        <v>952</v>
      </c>
      <c r="B196">
        <v>33555</v>
      </c>
      <c r="C196" t="s">
        <v>491</v>
      </c>
      <c r="D196">
        <v>0</v>
      </c>
      <c r="E196" s="8">
        <v>0</v>
      </c>
      <c r="F196">
        <v>0</v>
      </c>
      <c r="G196">
        <v>0</v>
      </c>
      <c r="H196">
        <v>0</v>
      </c>
    </row>
    <row r="197" spans="1:14" x14ac:dyDescent="0.2">
      <c r="A197">
        <v>952</v>
      </c>
      <c r="B197">
        <v>33560</v>
      </c>
      <c r="C197" t="s">
        <v>537</v>
      </c>
      <c r="D197">
        <v>58.21</v>
      </c>
      <c r="E197" s="8">
        <v>793.64</v>
      </c>
      <c r="F197">
        <v>4000</v>
      </c>
      <c r="G197">
        <v>1664.74</v>
      </c>
      <c r="H197">
        <v>1664.74</v>
      </c>
    </row>
    <row r="198" spans="1:14" x14ac:dyDescent="0.2">
      <c r="A198" s="8">
        <v>952</v>
      </c>
      <c r="B198" s="8">
        <v>33565</v>
      </c>
      <c r="C198" s="8" t="s">
        <v>1318</v>
      </c>
      <c r="D198" s="8">
        <v>0</v>
      </c>
      <c r="E198" s="8">
        <v>0</v>
      </c>
      <c r="F198" s="8">
        <v>0</v>
      </c>
      <c r="G198" s="8">
        <v>0</v>
      </c>
      <c r="H198" s="8">
        <v>0</v>
      </c>
    </row>
    <row r="199" spans="1:14" x14ac:dyDescent="0.2">
      <c r="A199">
        <v>952</v>
      </c>
      <c r="B199">
        <v>33580</v>
      </c>
      <c r="C199" t="s">
        <v>538</v>
      </c>
      <c r="D199">
        <v>228.27</v>
      </c>
      <c r="E199" s="8">
        <v>1955.59</v>
      </c>
      <c r="F199">
        <v>2300</v>
      </c>
      <c r="G199">
        <v>1507.79</v>
      </c>
      <c r="H199">
        <v>1507.79</v>
      </c>
    </row>
    <row r="200" spans="1:14" x14ac:dyDescent="0.2">
      <c r="A200">
        <v>952</v>
      </c>
      <c r="B200">
        <v>33590</v>
      </c>
      <c r="C200" t="s">
        <v>539</v>
      </c>
      <c r="D200">
        <v>273.91000000000003</v>
      </c>
      <c r="E200" s="8">
        <v>1378.18</v>
      </c>
      <c r="F200">
        <v>1500</v>
      </c>
      <c r="G200">
        <v>1205.1500000000001</v>
      </c>
      <c r="H200">
        <v>1205.1500000000001</v>
      </c>
    </row>
    <row r="201" spans="1:14" x14ac:dyDescent="0.2">
      <c r="A201">
        <v>952</v>
      </c>
      <c r="B201">
        <v>33600</v>
      </c>
      <c r="C201" t="s">
        <v>540</v>
      </c>
      <c r="D201">
        <v>0</v>
      </c>
      <c r="E201" s="8">
        <v>367.57</v>
      </c>
      <c r="F201">
        <v>850</v>
      </c>
      <c r="G201">
        <v>341.96</v>
      </c>
      <c r="H201">
        <v>341.96</v>
      </c>
    </row>
    <row r="202" spans="1:14" x14ac:dyDescent="0.2">
      <c r="A202">
        <v>952</v>
      </c>
      <c r="B202">
        <v>33610</v>
      </c>
      <c r="C202" t="s">
        <v>541</v>
      </c>
      <c r="D202">
        <v>0</v>
      </c>
      <c r="E202" s="8">
        <v>273.5</v>
      </c>
      <c r="F202">
        <v>750</v>
      </c>
      <c r="G202">
        <v>171.6</v>
      </c>
      <c r="H202">
        <v>171.6</v>
      </c>
    </row>
    <row r="203" spans="1:14" x14ac:dyDescent="0.2">
      <c r="A203">
        <v>952</v>
      </c>
      <c r="B203">
        <v>34000</v>
      </c>
      <c r="C203" t="s">
        <v>542</v>
      </c>
      <c r="D203">
        <v>0</v>
      </c>
      <c r="E203" s="8">
        <v>0</v>
      </c>
      <c r="F203">
        <v>0</v>
      </c>
      <c r="G203">
        <v>0</v>
      </c>
      <c r="H203">
        <v>0</v>
      </c>
    </row>
    <row r="204" spans="1:14" x14ac:dyDescent="0.2">
      <c r="A204">
        <v>952</v>
      </c>
      <c r="B204">
        <v>34140</v>
      </c>
      <c r="C204" t="s">
        <v>543</v>
      </c>
      <c r="D204">
        <v>0</v>
      </c>
      <c r="E204" s="8">
        <v>0</v>
      </c>
      <c r="F204">
        <v>0</v>
      </c>
      <c r="G204">
        <v>164.66</v>
      </c>
      <c r="H204">
        <v>164.66</v>
      </c>
    </row>
    <row r="205" spans="1:14" x14ac:dyDescent="0.2">
      <c r="A205">
        <v>952</v>
      </c>
      <c r="B205">
        <v>34145</v>
      </c>
      <c r="C205" t="s">
        <v>544</v>
      </c>
      <c r="D205">
        <v>0</v>
      </c>
      <c r="E205" s="8">
        <v>0</v>
      </c>
      <c r="F205">
        <v>0</v>
      </c>
      <c r="G205">
        <v>0</v>
      </c>
      <c r="H205">
        <v>0</v>
      </c>
    </row>
    <row r="206" spans="1:14" x14ac:dyDescent="0.2">
      <c r="A206">
        <v>952</v>
      </c>
      <c r="B206">
        <v>34300</v>
      </c>
      <c r="C206" t="s">
        <v>491</v>
      </c>
      <c r="D206">
        <v>0</v>
      </c>
      <c r="E206" s="8">
        <v>0</v>
      </c>
      <c r="F206">
        <v>0</v>
      </c>
      <c r="G206">
        <v>0</v>
      </c>
      <c r="H206">
        <v>0</v>
      </c>
    </row>
    <row r="207" spans="1:14" x14ac:dyDescent="0.2">
      <c r="A207">
        <v>952</v>
      </c>
      <c r="B207">
        <v>34390</v>
      </c>
      <c r="C207" t="s">
        <v>512</v>
      </c>
      <c r="D207">
        <v>0</v>
      </c>
      <c r="E207" s="8">
        <v>0</v>
      </c>
      <c r="F207">
        <v>0</v>
      </c>
      <c r="G207">
        <v>0</v>
      </c>
      <c r="H207">
        <v>0</v>
      </c>
    </row>
    <row r="208" spans="1:14" x14ac:dyDescent="0.2">
      <c r="A208">
        <v>952</v>
      </c>
      <c r="B208">
        <v>34395</v>
      </c>
      <c r="C208" t="s">
        <v>545</v>
      </c>
      <c r="D208">
        <v>0</v>
      </c>
      <c r="E208" s="8">
        <v>0</v>
      </c>
      <c r="F208">
        <v>0</v>
      </c>
      <c r="G208">
        <v>0</v>
      </c>
      <c r="H208">
        <v>0</v>
      </c>
    </row>
    <row r="209" spans="1:8" x14ac:dyDescent="0.2">
      <c r="A209">
        <v>952</v>
      </c>
      <c r="B209">
        <v>34410</v>
      </c>
      <c r="C209" t="s">
        <v>546</v>
      </c>
      <c r="D209">
        <v>0</v>
      </c>
      <c r="E209" s="8">
        <v>0</v>
      </c>
      <c r="F209">
        <v>0</v>
      </c>
      <c r="G209">
        <v>0</v>
      </c>
      <c r="H209">
        <v>0</v>
      </c>
    </row>
    <row r="210" spans="1:8" x14ac:dyDescent="0.2">
      <c r="A210">
        <v>952</v>
      </c>
      <c r="B210">
        <v>34420</v>
      </c>
      <c r="C210" t="s">
        <v>491</v>
      </c>
      <c r="D210">
        <v>0</v>
      </c>
      <c r="E210" s="8">
        <v>0</v>
      </c>
      <c r="F210">
        <v>0</v>
      </c>
      <c r="G210">
        <v>0</v>
      </c>
      <c r="H210">
        <v>0</v>
      </c>
    </row>
    <row r="211" spans="1:8" x14ac:dyDescent="0.2">
      <c r="A211">
        <v>952</v>
      </c>
      <c r="B211">
        <v>34440</v>
      </c>
      <c r="C211" t="s">
        <v>547</v>
      </c>
      <c r="D211">
        <v>0</v>
      </c>
      <c r="E211" s="8">
        <v>0</v>
      </c>
      <c r="F211">
        <v>0</v>
      </c>
      <c r="G211">
        <v>0</v>
      </c>
      <c r="H211">
        <v>0</v>
      </c>
    </row>
    <row r="212" spans="1:8" x14ac:dyDescent="0.2">
      <c r="A212">
        <v>952</v>
      </c>
      <c r="B212">
        <v>34445</v>
      </c>
      <c r="C212" t="s">
        <v>548</v>
      </c>
      <c r="D212">
        <v>0</v>
      </c>
      <c r="E212" s="8">
        <v>0</v>
      </c>
      <c r="F212">
        <v>0</v>
      </c>
      <c r="G212">
        <v>0</v>
      </c>
      <c r="H212">
        <v>0</v>
      </c>
    </row>
    <row r="213" spans="1:8" x14ac:dyDescent="0.2">
      <c r="A213">
        <v>952</v>
      </c>
      <c r="B213">
        <v>34452</v>
      </c>
      <c r="C213" t="s">
        <v>549</v>
      </c>
      <c r="D213">
        <v>0</v>
      </c>
      <c r="E213" s="8">
        <v>0</v>
      </c>
      <c r="F213">
        <v>0</v>
      </c>
      <c r="G213">
        <v>0</v>
      </c>
      <c r="H213">
        <v>0</v>
      </c>
    </row>
    <row r="214" spans="1:8" x14ac:dyDescent="0.2">
      <c r="A214">
        <v>952</v>
      </c>
      <c r="B214">
        <v>34453</v>
      </c>
      <c r="C214" t="s">
        <v>550</v>
      </c>
      <c r="D214">
        <v>0</v>
      </c>
      <c r="E214" s="8">
        <v>0</v>
      </c>
      <c r="F214">
        <v>0</v>
      </c>
      <c r="G214">
        <v>0</v>
      </c>
      <c r="H214">
        <v>0</v>
      </c>
    </row>
    <row r="215" spans="1:8" x14ac:dyDescent="0.2">
      <c r="A215">
        <v>952</v>
      </c>
      <c r="B215">
        <v>34455</v>
      </c>
      <c r="C215" t="s">
        <v>551</v>
      </c>
      <c r="D215">
        <v>0</v>
      </c>
      <c r="E215" s="8">
        <v>0</v>
      </c>
      <c r="F215">
        <v>0</v>
      </c>
      <c r="G215">
        <v>0</v>
      </c>
      <c r="H215">
        <v>0</v>
      </c>
    </row>
    <row r="216" spans="1:8" x14ac:dyDescent="0.2">
      <c r="A216">
        <v>952</v>
      </c>
      <c r="B216">
        <v>34500</v>
      </c>
      <c r="C216" t="s">
        <v>552</v>
      </c>
      <c r="D216">
        <v>0</v>
      </c>
      <c r="E216" s="8">
        <v>0</v>
      </c>
      <c r="F216">
        <v>0</v>
      </c>
      <c r="G216">
        <v>0</v>
      </c>
      <c r="H216">
        <v>0</v>
      </c>
    </row>
    <row r="217" spans="1:8" x14ac:dyDescent="0.2">
      <c r="A217">
        <v>952</v>
      </c>
      <c r="B217">
        <v>34600</v>
      </c>
      <c r="C217" t="s">
        <v>553</v>
      </c>
      <c r="D217">
        <v>0</v>
      </c>
      <c r="E217" s="8">
        <v>0</v>
      </c>
      <c r="F217">
        <v>0</v>
      </c>
      <c r="G217">
        <v>0</v>
      </c>
      <c r="H217">
        <v>0</v>
      </c>
    </row>
    <row r="218" spans="1:8" x14ac:dyDescent="0.2">
      <c r="A218">
        <v>952</v>
      </c>
      <c r="B218">
        <v>34610</v>
      </c>
      <c r="C218" t="s">
        <v>554</v>
      </c>
      <c r="D218">
        <v>0</v>
      </c>
      <c r="E218" s="8">
        <v>0</v>
      </c>
      <c r="F218">
        <v>0</v>
      </c>
      <c r="G218">
        <v>0</v>
      </c>
      <c r="H218">
        <v>0</v>
      </c>
    </row>
    <row r="219" spans="1:8" x14ac:dyDescent="0.2">
      <c r="A219">
        <v>952</v>
      </c>
      <c r="B219">
        <v>34700</v>
      </c>
      <c r="C219" t="s">
        <v>555</v>
      </c>
      <c r="D219">
        <v>547.33000000000004</v>
      </c>
      <c r="E219" s="8">
        <v>4562.67</v>
      </c>
      <c r="F219">
        <v>4880</v>
      </c>
      <c r="G219">
        <v>4060.66</v>
      </c>
      <c r="H219">
        <v>4060.66</v>
      </c>
    </row>
    <row r="220" spans="1:8" x14ac:dyDescent="0.2">
      <c r="A220">
        <v>952</v>
      </c>
      <c r="B220">
        <v>34710</v>
      </c>
      <c r="C220" t="s">
        <v>556</v>
      </c>
      <c r="D220">
        <v>107.07</v>
      </c>
      <c r="E220" s="8">
        <v>1113.74</v>
      </c>
      <c r="F220">
        <v>1400</v>
      </c>
      <c r="G220">
        <v>1263.56</v>
      </c>
      <c r="H220">
        <v>1263.56</v>
      </c>
    </row>
    <row r="221" spans="1:8" x14ac:dyDescent="0.2">
      <c r="A221">
        <v>952</v>
      </c>
      <c r="B221">
        <v>34720</v>
      </c>
      <c r="C221" t="s">
        <v>491</v>
      </c>
      <c r="D221">
        <v>0</v>
      </c>
      <c r="E221" s="8">
        <v>0</v>
      </c>
      <c r="F221">
        <v>200</v>
      </c>
      <c r="G221">
        <v>64.89</v>
      </c>
      <c r="H221">
        <v>64.89</v>
      </c>
    </row>
    <row r="222" spans="1:8" x14ac:dyDescent="0.2">
      <c r="A222">
        <v>952</v>
      </c>
      <c r="B222">
        <v>34730</v>
      </c>
      <c r="C222" t="s">
        <v>544</v>
      </c>
      <c r="D222">
        <v>0</v>
      </c>
      <c r="E222" s="8">
        <v>0</v>
      </c>
      <c r="F222">
        <v>200</v>
      </c>
      <c r="G222">
        <v>37.369999999999997</v>
      </c>
      <c r="H222">
        <v>37.369999999999997</v>
      </c>
    </row>
    <row r="223" spans="1:8" x14ac:dyDescent="0.2">
      <c r="A223">
        <v>952</v>
      </c>
      <c r="B223">
        <v>34740</v>
      </c>
      <c r="C223" t="s">
        <v>828</v>
      </c>
      <c r="D223">
        <v>0</v>
      </c>
      <c r="E223" s="8">
        <v>284.74</v>
      </c>
      <c r="F223">
        <v>850</v>
      </c>
      <c r="G223">
        <v>755.34</v>
      </c>
      <c r="H223">
        <v>755.34</v>
      </c>
    </row>
    <row r="224" spans="1:8" x14ac:dyDescent="0.2">
      <c r="A224">
        <v>952</v>
      </c>
      <c r="B224">
        <v>34760</v>
      </c>
      <c r="C224" t="s">
        <v>557</v>
      </c>
      <c r="D224">
        <v>15.61</v>
      </c>
      <c r="E224" s="8">
        <v>200.95</v>
      </c>
      <c r="F224">
        <v>150</v>
      </c>
      <c r="G224">
        <v>0</v>
      </c>
      <c r="H224">
        <v>0</v>
      </c>
    </row>
    <row r="225" spans="1:8" x14ac:dyDescent="0.2">
      <c r="A225">
        <v>952</v>
      </c>
      <c r="B225">
        <v>34765</v>
      </c>
      <c r="C225" t="s">
        <v>77</v>
      </c>
      <c r="D225">
        <v>0</v>
      </c>
      <c r="E225" s="8">
        <v>0</v>
      </c>
      <c r="F225">
        <v>0</v>
      </c>
      <c r="G225">
        <v>0</v>
      </c>
      <c r="H225">
        <v>0</v>
      </c>
    </row>
    <row r="226" spans="1:8" x14ac:dyDescent="0.2">
      <c r="A226">
        <v>952</v>
      </c>
      <c r="B226">
        <v>34770</v>
      </c>
      <c r="C226" t="s">
        <v>558</v>
      </c>
      <c r="D226">
        <v>0</v>
      </c>
      <c r="E226" s="8">
        <v>138.97</v>
      </c>
      <c r="F226">
        <v>800</v>
      </c>
      <c r="G226">
        <v>62.61</v>
      </c>
      <c r="H226">
        <v>62.61</v>
      </c>
    </row>
    <row r="227" spans="1:8" x14ac:dyDescent="0.2">
      <c r="A227">
        <v>952</v>
      </c>
      <c r="B227">
        <v>34780</v>
      </c>
      <c r="C227" t="s">
        <v>559</v>
      </c>
      <c r="D227">
        <v>2107.66</v>
      </c>
      <c r="E227" s="8">
        <v>23335.38</v>
      </c>
      <c r="F227">
        <v>21000</v>
      </c>
      <c r="G227">
        <v>21067.42</v>
      </c>
      <c r="H227">
        <v>21067.42</v>
      </c>
    </row>
    <row r="228" spans="1:8" x14ac:dyDescent="0.2">
      <c r="A228">
        <v>952</v>
      </c>
      <c r="B228">
        <v>35000</v>
      </c>
      <c r="C228" t="s">
        <v>555</v>
      </c>
      <c r="D228">
        <v>0</v>
      </c>
      <c r="E228" s="8">
        <v>0</v>
      </c>
      <c r="F228">
        <v>0</v>
      </c>
      <c r="G228">
        <v>0</v>
      </c>
      <c r="H228">
        <v>0</v>
      </c>
    </row>
    <row r="229" spans="1:8" x14ac:dyDescent="0.2">
      <c r="A229">
        <v>952</v>
      </c>
      <c r="B229">
        <v>35010</v>
      </c>
      <c r="C229" t="s">
        <v>560</v>
      </c>
      <c r="D229">
        <v>114.02</v>
      </c>
      <c r="E229" s="8">
        <v>1130.76</v>
      </c>
      <c r="F229">
        <v>1500</v>
      </c>
      <c r="G229">
        <v>1347.66</v>
      </c>
      <c r="H229">
        <v>1347.66</v>
      </c>
    </row>
    <row r="230" spans="1:8" x14ac:dyDescent="0.2">
      <c r="A230">
        <v>952</v>
      </c>
      <c r="B230">
        <v>35020</v>
      </c>
      <c r="C230" t="s">
        <v>561</v>
      </c>
      <c r="D230">
        <v>0</v>
      </c>
      <c r="E230" s="8">
        <v>0</v>
      </c>
      <c r="F230">
        <v>50</v>
      </c>
      <c r="G230">
        <v>0</v>
      </c>
      <c r="H230">
        <v>0</v>
      </c>
    </row>
    <row r="231" spans="1:8" x14ac:dyDescent="0.2">
      <c r="A231">
        <v>952</v>
      </c>
      <c r="B231">
        <v>35030</v>
      </c>
      <c r="C231" t="s">
        <v>562</v>
      </c>
      <c r="D231">
        <v>0</v>
      </c>
      <c r="E231" s="8">
        <v>0</v>
      </c>
      <c r="F231">
        <v>250</v>
      </c>
      <c r="G231">
        <v>0</v>
      </c>
      <c r="H231">
        <v>0</v>
      </c>
    </row>
    <row r="232" spans="1:8" x14ac:dyDescent="0.2">
      <c r="A232">
        <v>952</v>
      </c>
      <c r="B232">
        <v>35040</v>
      </c>
      <c r="C232" t="s">
        <v>563</v>
      </c>
      <c r="D232">
        <v>395.43</v>
      </c>
      <c r="E232" s="8">
        <v>1752.93</v>
      </c>
      <c r="F232">
        <v>2500</v>
      </c>
      <c r="G232">
        <v>2609.4899999999998</v>
      </c>
      <c r="H232">
        <v>2609.4899999999998</v>
      </c>
    </row>
    <row r="233" spans="1:8" x14ac:dyDescent="0.2">
      <c r="A233">
        <v>952</v>
      </c>
      <c r="B233">
        <v>35050</v>
      </c>
      <c r="C233" t="s">
        <v>564</v>
      </c>
      <c r="D233">
        <v>86.49</v>
      </c>
      <c r="E233" s="8">
        <v>32876.800000000003</v>
      </c>
      <c r="F233">
        <v>36688</v>
      </c>
      <c r="G233">
        <v>1627.73</v>
      </c>
      <c r="H233">
        <v>1627.73</v>
      </c>
    </row>
    <row r="234" spans="1:8" x14ac:dyDescent="0.2">
      <c r="A234">
        <v>952</v>
      </c>
      <c r="B234">
        <v>35060</v>
      </c>
      <c r="C234" t="s">
        <v>565</v>
      </c>
      <c r="D234">
        <v>0</v>
      </c>
      <c r="E234" s="8">
        <v>0</v>
      </c>
      <c r="F234">
        <v>0</v>
      </c>
      <c r="G234">
        <v>0</v>
      </c>
      <c r="H234">
        <v>0</v>
      </c>
    </row>
    <row r="235" spans="1:8" x14ac:dyDescent="0.2">
      <c r="A235">
        <v>952</v>
      </c>
      <c r="B235">
        <v>35070</v>
      </c>
      <c r="C235" t="s">
        <v>566</v>
      </c>
      <c r="D235">
        <v>0</v>
      </c>
      <c r="E235" s="8">
        <v>130.43</v>
      </c>
      <c r="F235">
        <v>2000</v>
      </c>
      <c r="G235">
        <v>0</v>
      </c>
      <c r="H235">
        <v>0</v>
      </c>
    </row>
    <row r="236" spans="1:8" x14ac:dyDescent="0.2">
      <c r="A236">
        <v>952</v>
      </c>
      <c r="B236">
        <v>35080</v>
      </c>
      <c r="C236" t="s">
        <v>567</v>
      </c>
      <c r="D236">
        <v>1061.28</v>
      </c>
      <c r="E236" s="8">
        <v>17937.04</v>
      </c>
      <c r="F236">
        <v>15800</v>
      </c>
      <c r="G236">
        <v>13715.57</v>
      </c>
      <c r="H236">
        <v>13715.57</v>
      </c>
    </row>
    <row r="237" spans="1:8" x14ac:dyDescent="0.2">
      <c r="A237">
        <v>952</v>
      </c>
      <c r="B237">
        <v>35100</v>
      </c>
      <c r="C237" t="s">
        <v>542</v>
      </c>
      <c r="D237">
        <v>0</v>
      </c>
      <c r="E237" s="8">
        <v>57.83</v>
      </c>
      <c r="F237">
        <v>100</v>
      </c>
      <c r="G237">
        <v>19.47</v>
      </c>
      <c r="H237">
        <v>19.47</v>
      </c>
    </row>
    <row r="238" spans="1:8" x14ac:dyDescent="0.2">
      <c r="A238">
        <v>952</v>
      </c>
      <c r="B238">
        <v>35105</v>
      </c>
      <c r="C238" t="s">
        <v>499</v>
      </c>
      <c r="D238">
        <v>0</v>
      </c>
      <c r="E238" s="8">
        <v>151.83000000000001</v>
      </c>
      <c r="F238">
        <v>150</v>
      </c>
      <c r="G238">
        <v>95.22</v>
      </c>
      <c r="H238">
        <v>95.22</v>
      </c>
    </row>
    <row r="239" spans="1:8" x14ac:dyDescent="0.2">
      <c r="A239">
        <v>952</v>
      </c>
      <c r="B239">
        <v>35110</v>
      </c>
      <c r="C239" t="s">
        <v>568</v>
      </c>
      <c r="D239">
        <v>233.88</v>
      </c>
      <c r="E239" s="8">
        <v>8167.38</v>
      </c>
      <c r="F239">
        <v>10400</v>
      </c>
      <c r="G239">
        <v>10173.450000000001</v>
      </c>
      <c r="H239">
        <v>10173.450000000001</v>
      </c>
    </row>
    <row r="240" spans="1:8" x14ac:dyDescent="0.2">
      <c r="A240">
        <v>952</v>
      </c>
      <c r="B240">
        <v>35115</v>
      </c>
      <c r="C240" t="s">
        <v>520</v>
      </c>
      <c r="D240">
        <v>0</v>
      </c>
      <c r="E240" s="8">
        <v>0</v>
      </c>
      <c r="F240">
        <v>0</v>
      </c>
      <c r="G240">
        <v>0</v>
      </c>
      <c r="H240">
        <v>0</v>
      </c>
    </row>
    <row r="241" spans="1:14" x14ac:dyDescent="0.2">
      <c r="A241">
        <v>952</v>
      </c>
      <c r="B241">
        <v>35120</v>
      </c>
      <c r="C241" t="s">
        <v>569</v>
      </c>
      <c r="D241">
        <v>0</v>
      </c>
      <c r="E241" s="8">
        <v>0</v>
      </c>
      <c r="F241">
        <v>0</v>
      </c>
      <c r="G241">
        <v>0</v>
      </c>
      <c r="H241">
        <v>0</v>
      </c>
    </row>
    <row r="242" spans="1:14" x14ac:dyDescent="0.2">
      <c r="A242">
        <v>952</v>
      </c>
      <c r="B242">
        <v>35125</v>
      </c>
      <c r="C242" t="s">
        <v>570</v>
      </c>
      <c r="D242">
        <v>0</v>
      </c>
      <c r="E242" s="8">
        <v>1166.95</v>
      </c>
      <c r="F242">
        <v>2500</v>
      </c>
      <c r="G242">
        <v>1391.3</v>
      </c>
      <c r="H242">
        <v>1391.3</v>
      </c>
    </row>
    <row r="243" spans="1:14" x14ac:dyDescent="0.2">
      <c r="A243">
        <v>952</v>
      </c>
      <c r="B243">
        <v>35130</v>
      </c>
      <c r="C243" t="s">
        <v>571</v>
      </c>
      <c r="D243">
        <v>170.25</v>
      </c>
      <c r="E243" s="8">
        <v>593.1</v>
      </c>
      <c r="F243">
        <v>1000</v>
      </c>
      <c r="G243">
        <v>-595.41999999999996</v>
      </c>
      <c r="H243">
        <v>-595.41999999999996</v>
      </c>
    </row>
    <row r="244" spans="1:14" x14ac:dyDescent="0.2">
      <c r="A244">
        <v>952</v>
      </c>
      <c r="B244">
        <v>35135</v>
      </c>
      <c r="C244" t="s">
        <v>491</v>
      </c>
      <c r="D244">
        <v>125.71</v>
      </c>
      <c r="E244" s="8">
        <v>1005.58</v>
      </c>
      <c r="F244">
        <v>2600</v>
      </c>
      <c r="G244">
        <v>3511.79</v>
      </c>
      <c r="H244">
        <v>3511.79</v>
      </c>
    </row>
    <row r="245" spans="1:14" x14ac:dyDescent="0.2">
      <c r="A245">
        <v>952</v>
      </c>
      <c r="B245">
        <v>35140</v>
      </c>
      <c r="C245" t="s">
        <v>544</v>
      </c>
      <c r="D245">
        <v>192.21</v>
      </c>
      <c r="E245" s="8">
        <v>2569.12</v>
      </c>
      <c r="F245">
        <v>4000</v>
      </c>
      <c r="G245">
        <v>4109.75</v>
      </c>
      <c r="H245">
        <v>4109.75</v>
      </c>
    </row>
    <row r="246" spans="1:14" x14ac:dyDescent="0.2">
      <c r="A246">
        <v>952</v>
      </c>
      <c r="B246">
        <v>35145</v>
      </c>
      <c r="C246" t="s">
        <v>828</v>
      </c>
      <c r="D246">
        <v>279</v>
      </c>
      <c r="E246" s="8">
        <v>7503.1</v>
      </c>
      <c r="F246">
        <v>8000</v>
      </c>
      <c r="G246">
        <v>7619.83</v>
      </c>
      <c r="H246">
        <v>7619.83</v>
      </c>
      <c r="N246" s="8"/>
    </row>
    <row r="247" spans="1:14" x14ac:dyDescent="0.2">
      <c r="A247">
        <v>952</v>
      </c>
      <c r="B247">
        <v>35150</v>
      </c>
      <c r="C247" t="s">
        <v>557</v>
      </c>
      <c r="D247">
        <v>0</v>
      </c>
      <c r="E247" s="8">
        <v>198.16</v>
      </c>
      <c r="F247">
        <v>200</v>
      </c>
      <c r="G247">
        <v>92.63</v>
      </c>
      <c r="H247">
        <v>92.63</v>
      </c>
      <c r="N247" s="8"/>
    </row>
    <row r="248" spans="1:14" x14ac:dyDescent="0.2">
      <c r="A248">
        <v>952</v>
      </c>
      <c r="B248">
        <v>35155</v>
      </c>
      <c r="C248" t="s">
        <v>572</v>
      </c>
      <c r="D248">
        <v>0</v>
      </c>
      <c r="E248" s="8">
        <v>0</v>
      </c>
      <c r="F248">
        <v>300</v>
      </c>
      <c r="G248">
        <v>13.04</v>
      </c>
      <c r="H248">
        <v>13.04</v>
      </c>
      <c r="N248" s="8"/>
    </row>
    <row r="249" spans="1:14" x14ac:dyDescent="0.2">
      <c r="A249">
        <v>952</v>
      </c>
      <c r="B249">
        <v>35156</v>
      </c>
      <c r="C249" t="s">
        <v>573</v>
      </c>
      <c r="D249">
        <v>0</v>
      </c>
      <c r="E249" s="8">
        <v>0</v>
      </c>
      <c r="F249">
        <v>0</v>
      </c>
      <c r="G249">
        <v>0</v>
      </c>
      <c r="H249">
        <v>0</v>
      </c>
      <c r="N249" s="8"/>
    </row>
    <row r="250" spans="1:14" x14ac:dyDescent="0.2">
      <c r="A250">
        <v>952</v>
      </c>
      <c r="B250">
        <v>35157</v>
      </c>
      <c r="C250" t="s">
        <v>1199</v>
      </c>
      <c r="D250">
        <v>0</v>
      </c>
      <c r="E250" s="8">
        <v>200</v>
      </c>
      <c r="F250">
        <v>200</v>
      </c>
      <c r="G250">
        <v>16.940000000000001</v>
      </c>
      <c r="H250">
        <v>16.940000000000001</v>
      </c>
      <c r="N250" s="8"/>
    </row>
    <row r="251" spans="1:14" x14ac:dyDescent="0.2">
      <c r="A251">
        <v>952</v>
      </c>
      <c r="B251">
        <v>35160</v>
      </c>
      <c r="C251" t="s">
        <v>555</v>
      </c>
      <c r="D251">
        <v>547.33000000000004</v>
      </c>
      <c r="E251" s="8">
        <v>4562.05</v>
      </c>
      <c r="F251">
        <v>4880</v>
      </c>
      <c r="G251">
        <v>4101.5200000000004</v>
      </c>
      <c r="H251">
        <v>4101.5200000000004</v>
      </c>
      <c r="N251" s="8"/>
    </row>
    <row r="252" spans="1:14" x14ac:dyDescent="0.2">
      <c r="A252">
        <v>952</v>
      </c>
      <c r="B252">
        <v>35161</v>
      </c>
      <c r="C252" t="s">
        <v>556</v>
      </c>
      <c r="D252">
        <v>40</v>
      </c>
      <c r="E252" s="8">
        <v>472.81</v>
      </c>
      <c r="F252">
        <v>500</v>
      </c>
      <c r="G252">
        <v>486.25</v>
      </c>
      <c r="H252">
        <v>486.25</v>
      </c>
      <c r="N252" s="8"/>
    </row>
    <row r="253" spans="1:14" x14ac:dyDescent="0.2">
      <c r="A253">
        <v>952</v>
      </c>
      <c r="B253">
        <v>35162</v>
      </c>
      <c r="C253" t="s">
        <v>491</v>
      </c>
      <c r="D253">
        <v>0</v>
      </c>
      <c r="E253" s="8">
        <v>507.45</v>
      </c>
      <c r="F253">
        <v>500</v>
      </c>
      <c r="G253">
        <v>355.69</v>
      </c>
      <c r="H253">
        <v>355.69</v>
      </c>
    </row>
    <row r="254" spans="1:14" x14ac:dyDescent="0.2">
      <c r="A254">
        <v>952</v>
      </c>
      <c r="B254">
        <v>35163</v>
      </c>
      <c r="C254" t="s">
        <v>544</v>
      </c>
      <c r="D254">
        <v>0</v>
      </c>
      <c r="E254" s="8">
        <v>11.99</v>
      </c>
      <c r="F254">
        <v>250</v>
      </c>
      <c r="G254">
        <v>155.68</v>
      </c>
      <c r="H254">
        <v>155.68</v>
      </c>
    </row>
    <row r="255" spans="1:14" x14ac:dyDescent="0.2">
      <c r="A255">
        <v>952</v>
      </c>
      <c r="B255">
        <v>35164</v>
      </c>
      <c r="C255" t="s">
        <v>828</v>
      </c>
      <c r="D255">
        <v>0</v>
      </c>
      <c r="E255" s="8">
        <v>113.91</v>
      </c>
      <c r="F255">
        <v>200</v>
      </c>
      <c r="G255">
        <v>94.72</v>
      </c>
      <c r="H255">
        <v>94.72</v>
      </c>
    </row>
    <row r="256" spans="1:14" x14ac:dyDescent="0.2">
      <c r="A256">
        <v>952</v>
      </c>
      <c r="B256">
        <v>35166</v>
      </c>
      <c r="C256" t="s">
        <v>557</v>
      </c>
      <c r="D256">
        <v>0</v>
      </c>
      <c r="E256" s="8">
        <v>0</v>
      </c>
      <c r="F256">
        <v>150</v>
      </c>
      <c r="G256">
        <v>128.77000000000001</v>
      </c>
      <c r="H256">
        <v>128.77000000000001</v>
      </c>
    </row>
    <row r="257" spans="1:15" x14ac:dyDescent="0.2">
      <c r="A257">
        <v>952</v>
      </c>
      <c r="B257">
        <v>35167</v>
      </c>
      <c r="C257" t="s">
        <v>558</v>
      </c>
      <c r="D257">
        <v>0</v>
      </c>
      <c r="E257" s="8">
        <v>0</v>
      </c>
      <c r="F257">
        <v>750</v>
      </c>
      <c r="G257">
        <v>152.16999999999999</v>
      </c>
      <c r="H257">
        <v>152.16999999999999</v>
      </c>
    </row>
    <row r="258" spans="1:15" x14ac:dyDescent="0.2">
      <c r="A258">
        <v>952</v>
      </c>
      <c r="B258">
        <v>35168</v>
      </c>
      <c r="C258" t="s">
        <v>559</v>
      </c>
      <c r="D258">
        <v>480.26</v>
      </c>
      <c r="E258" s="8">
        <v>5228.9799999999996</v>
      </c>
      <c r="F258">
        <v>6500</v>
      </c>
      <c r="G258">
        <v>3977.68</v>
      </c>
      <c r="H258">
        <v>3977.68</v>
      </c>
    </row>
    <row r="259" spans="1:15" x14ac:dyDescent="0.2">
      <c r="A259">
        <v>952</v>
      </c>
      <c r="B259">
        <v>35170</v>
      </c>
      <c r="C259" t="s">
        <v>574</v>
      </c>
      <c r="D259">
        <v>0</v>
      </c>
      <c r="E259" s="8">
        <v>0</v>
      </c>
      <c r="F259">
        <v>0</v>
      </c>
      <c r="G259">
        <v>0</v>
      </c>
      <c r="H259">
        <v>0</v>
      </c>
    </row>
    <row r="260" spans="1:15" x14ac:dyDescent="0.2">
      <c r="A260">
        <v>952</v>
      </c>
      <c r="B260">
        <v>35171</v>
      </c>
      <c r="C260" t="s">
        <v>575</v>
      </c>
      <c r="D260">
        <v>1959.92</v>
      </c>
      <c r="E260" s="8">
        <v>14075.59</v>
      </c>
      <c r="F260">
        <v>15205</v>
      </c>
      <c r="G260">
        <v>12209.82</v>
      </c>
      <c r="H260">
        <v>12209.82</v>
      </c>
    </row>
    <row r="261" spans="1:15" x14ac:dyDescent="0.2">
      <c r="A261">
        <v>952</v>
      </c>
      <c r="B261">
        <v>35172</v>
      </c>
      <c r="C261" t="s">
        <v>576</v>
      </c>
      <c r="D261">
        <v>0</v>
      </c>
      <c r="E261" s="8">
        <v>14733.48</v>
      </c>
      <c r="F261">
        <v>17000</v>
      </c>
      <c r="G261">
        <v>13294.25</v>
      </c>
      <c r="H261">
        <v>13294.25</v>
      </c>
    </row>
    <row r="262" spans="1:15" x14ac:dyDescent="0.2">
      <c r="A262">
        <v>952</v>
      </c>
      <c r="B262">
        <v>35173</v>
      </c>
      <c r="C262" t="s">
        <v>577</v>
      </c>
      <c r="D262">
        <v>0</v>
      </c>
      <c r="E262" s="8">
        <v>9265.07</v>
      </c>
      <c r="F262">
        <v>15000</v>
      </c>
      <c r="G262">
        <v>7453.15</v>
      </c>
      <c r="H262">
        <v>7453.15</v>
      </c>
      <c r="K262" s="8"/>
      <c r="L262" s="8"/>
      <c r="M262" s="8"/>
      <c r="N262" s="8"/>
      <c r="O262" s="8"/>
    </row>
    <row r="263" spans="1:15" x14ac:dyDescent="0.2">
      <c r="A263">
        <v>952</v>
      </c>
      <c r="B263">
        <v>35174</v>
      </c>
      <c r="C263" t="s">
        <v>578</v>
      </c>
      <c r="D263">
        <v>0</v>
      </c>
      <c r="E263" s="8">
        <v>0</v>
      </c>
      <c r="F263">
        <v>0</v>
      </c>
      <c r="G263">
        <v>0</v>
      </c>
      <c r="H263">
        <v>0</v>
      </c>
      <c r="K263" s="8"/>
      <c r="L263" s="8"/>
      <c r="M263" s="8"/>
      <c r="N263" s="8"/>
      <c r="O263" s="8"/>
    </row>
    <row r="264" spans="1:15" x14ac:dyDescent="0.2">
      <c r="A264">
        <v>952</v>
      </c>
      <c r="B264">
        <v>35175</v>
      </c>
      <c r="C264" t="s">
        <v>579</v>
      </c>
      <c r="D264">
        <v>0</v>
      </c>
      <c r="E264" s="8">
        <v>2526.66</v>
      </c>
      <c r="F264">
        <v>5000</v>
      </c>
      <c r="G264">
        <v>6142.58</v>
      </c>
      <c r="H264">
        <v>6142.58</v>
      </c>
      <c r="K264" s="8"/>
      <c r="L264" s="8"/>
      <c r="M264" s="8"/>
      <c r="N264" s="8"/>
      <c r="O264" s="8"/>
    </row>
    <row r="265" spans="1:15" x14ac:dyDescent="0.2">
      <c r="A265">
        <v>952</v>
      </c>
      <c r="B265">
        <v>35176</v>
      </c>
      <c r="C265" t="s">
        <v>580</v>
      </c>
      <c r="D265">
        <v>0</v>
      </c>
      <c r="E265" s="8">
        <v>2897.31</v>
      </c>
      <c r="F265">
        <v>2000</v>
      </c>
      <c r="G265">
        <v>300.08999999999997</v>
      </c>
      <c r="H265">
        <v>300.08999999999997</v>
      </c>
    </row>
    <row r="266" spans="1:15" x14ac:dyDescent="0.2">
      <c r="A266">
        <v>952</v>
      </c>
      <c r="B266">
        <v>35177</v>
      </c>
      <c r="C266" t="s">
        <v>581</v>
      </c>
      <c r="D266">
        <v>0</v>
      </c>
      <c r="E266" s="8">
        <v>11482.67</v>
      </c>
      <c r="F266">
        <v>20000</v>
      </c>
      <c r="G266">
        <v>10412.07</v>
      </c>
      <c r="H266">
        <v>10412.07</v>
      </c>
    </row>
    <row r="267" spans="1:15" x14ac:dyDescent="0.2">
      <c r="A267" s="8">
        <v>952</v>
      </c>
      <c r="B267" s="8">
        <v>35178</v>
      </c>
      <c r="C267" s="8" t="s">
        <v>1319</v>
      </c>
      <c r="D267" s="8">
        <v>0</v>
      </c>
      <c r="E267" s="8">
        <v>0</v>
      </c>
      <c r="F267" s="8">
        <v>0</v>
      </c>
      <c r="G267" s="8">
        <v>0</v>
      </c>
      <c r="H267" s="8">
        <v>0</v>
      </c>
    </row>
    <row r="268" spans="1:15" x14ac:dyDescent="0.2">
      <c r="A268">
        <v>952</v>
      </c>
      <c r="B268">
        <v>35179</v>
      </c>
      <c r="C268" t="s">
        <v>582</v>
      </c>
      <c r="D268">
        <v>0</v>
      </c>
      <c r="E268" s="8">
        <v>0</v>
      </c>
      <c r="F268">
        <v>0</v>
      </c>
      <c r="G268">
        <v>0</v>
      </c>
      <c r="H268">
        <v>0</v>
      </c>
    </row>
    <row r="269" spans="1:15" x14ac:dyDescent="0.2">
      <c r="A269">
        <v>952</v>
      </c>
      <c r="B269">
        <v>35180</v>
      </c>
      <c r="C269" t="s">
        <v>499</v>
      </c>
      <c r="D269">
        <v>0</v>
      </c>
      <c r="E269" s="8">
        <v>39.729999999999997</v>
      </c>
      <c r="F269">
        <v>400</v>
      </c>
      <c r="G269">
        <v>475.87</v>
      </c>
      <c r="H269">
        <v>475.87</v>
      </c>
    </row>
    <row r="270" spans="1:15" x14ac:dyDescent="0.2">
      <c r="A270">
        <v>952</v>
      </c>
      <c r="B270">
        <v>35181</v>
      </c>
      <c r="C270" t="s">
        <v>583</v>
      </c>
      <c r="D270">
        <v>41.87</v>
      </c>
      <c r="E270" s="8">
        <v>712.63</v>
      </c>
      <c r="F270">
        <v>600</v>
      </c>
      <c r="G270">
        <v>536.98</v>
      </c>
      <c r="H270">
        <v>536.98</v>
      </c>
    </row>
    <row r="271" spans="1:15" x14ac:dyDescent="0.2">
      <c r="A271">
        <v>952</v>
      </c>
      <c r="B271">
        <v>35182</v>
      </c>
      <c r="C271" t="s">
        <v>491</v>
      </c>
      <c r="D271">
        <v>0</v>
      </c>
      <c r="E271" s="8">
        <v>346.95</v>
      </c>
      <c r="F271">
        <v>600</v>
      </c>
      <c r="G271">
        <v>0</v>
      </c>
      <c r="H271">
        <v>0</v>
      </c>
    </row>
    <row r="272" spans="1:15" x14ac:dyDescent="0.2">
      <c r="A272">
        <v>952</v>
      </c>
      <c r="B272">
        <v>35183</v>
      </c>
      <c r="C272" t="s">
        <v>584</v>
      </c>
      <c r="D272">
        <v>0</v>
      </c>
      <c r="E272" s="8">
        <v>334.56</v>
      </c>
      <c r="F272">
        <v>300</v>
      </c>
      <c r="G272">
        <v>52.15</v>
      </c>
      <c r="H272">
        <v>52.15</v>
      </c>
    </row>
    <row r="273" spans="1:8" x14ac:dyDescent="0.2">
      <c r="A273">
        <v>952</v>
      </c>
      <c r="B273">
        <v>35184</v>
      </c>
      <c r="C273" t="s">
        <v>828</v>
      </c>
      <c r="D273">
        <v>-56.96</v>
      </c>
      <c r="E273" s="8">
        <v>2542.2800000000002</v>
      </c>
      <c r="F273">
        <v>1300</v>
      </c>
      <c r="G273">
        <v>1768.75</v>
      </c>
      <c r="H273">
        <v>1768.75</v>
      </c>
    </row>
    <row r="274" spans="1:8" x14ac:dyDescent="0.2">
      <c r="A274">
        <v>952</v>
      </c>
      <c r="B274">
        <v>35185</v>
      </c>
      <c r="C274" t="s">
        <v>557</v>
      </c>
      <c r="D274">
        <v>0</v>
      </c>
      <c r="E274" s="8">
        <v>0</v>
      </c>
      <c r="F274">
        <v>250</v>
      </c>
      <c r="G274">
        <v>196.04</v>
      </c>
      <c r="H274">
        <v>196.04</v>
      </c>
    </row>
    <row r="275" spans="1:8" x14ac:dyDescent="0.2">
      <c r="A275">
        <v>952</v>
      </c>
      <c r="B275">
        <v>35186</v>
      </c>
      <c r="C275" t="s">
        <v>585</v>
      </c>
      <c r="D275">
        <v>0</v>
      </c>
      <c r="E275" s="8">
        <v>0</v>
      </c>
      <c r="F275">
        <v>150</v>
      </c>
      <c r="G275">
        <v>147.94</v>
      </c>
      <c r="H275">
        <v>147.94</v>
      </c>
    </row>
    <row r="276" spans="1:8" x14ac:dyDescent="0.2">
      <c r="A276">
        <v>952</v>
      </c>
      <c r="B276">
        <v>35187</v>
      </c>
      <c r="C276" t="s">
        <v>586</v>
      </c>
      <c r="D276">
        <v>0</v>
      </c>
      <c r="E276" s="8">
        <v>-73.2</v>
      </c>
      <c r="F276">
        <v>750</v>
      </c>
      <c r="G276">
        <v>224.79</v>
      </c>
      <c r="H276">
        <v>224.79</v>
      </c>
    </row>
    <row r="277" spans="1:8" x14ac:dyDescent="0.2">
      <c r="A277">
        <v>952</v>
      </c>
      <c r="B277">
        <v>35188</v>
      </c>
      <c r="C277" t="s">
        <v>587</v>
      </c>
      <c r="D277">
        <v>3092.72</v>
      </c>
      <c r="E277" s="8">
        <v>18824.04</v>
      </c>
      <c r="F277">
        <v>15000</v>
      </c>
      <c r="G277">
        <v>17648.43</v>
      </c>
      <c r="H277">
        <v>17648.43</v>
      </c>
    </row>
    <row r="278" spans="1:8" x14ac:dyDescent="0.2">
      <c r="A278">
        <v>952</v>
      </c>
      <c r="B278">
        <v>35189</v>
      </c>
      <c r="C278" t="s">
        <v>588</v>
      </c>
      <c r="D278">
        <v>0</v>
      </c>
      <c r="E278" s="8">
        <v>0</v>
      </c>
      <c r="F278">
        <v>0</v>
      </c>
      <c r="G278">
        <v>0</v>
      </c>
      <c r="H278">
        <v>0</v>
      </c>
    </row>
    <row r="279" spans="1:8" x14ac:dyDescent="0.2">
      <c r="A279">
        <v>952</v>
      </c>
      <c r="B279">
        <v>35190</v>
      </c>
      <c r="C279" t="s">
        <v>589</v>
      </c>
      <c r="D279">
        <v>0</v>
      </c>
      <c r="E279" s="8">
        <v>99.57</v>
      </c>
      <c r="F279">
        <v>0</v>
      </c>
      <c r="G279">
        <v>1771.41</v>
      </c>
      <c r="H279">
        <v>1771.41</v>
      </c>
    </row>
    <row r="280" spans="1:8" x14ac:dyDescent="0.2">
      <c r="A280">
        <v>952</v>
      </c>
      <c r="B280">
        <v>35192</v>
      </c>
      <c r="C280" t="s">
        <v>590</v>
      </c>
      <c r="D280">
        <v>0</v>
      </c>
      <c r="E280" s="8">
        <v>0</v>
      </c>
      <c r="F280">
        <v>0</v>
      </c>
      <c r="G280">
        <v>1900.97</v>
      </c>
      <c r="H280">
        <v>1900.97</v>
      </c>
    </row>
    <row r="281" spans="1:8" x14ac:dyDescent="0.2">
      <c r="A281">
        <v>952</v>
      </c>
      <c r="B281">
        <v>35195</v>
      </c>
      <c r="C281" t="s">
        <v>591</v>
      </c>
      <c r="D281">
        <v>0</v>
      </c>
      <c r="E281" s="8">
        <v>411.28</v>
      </c>
      <c r="F281">
        <v>0</v>
      </c>
      <c r="G281">
        <v>0</v>
      </c>
      <c r="H281">
        <v>0</v>
      </c>
    </row>
    <row r="282" spans="1:8" x14ac:dyDescent="0.2">
      <c r="A282">
        <v>952</v>
      </c>
      <c r="B282">
        <v>35196</v>
      </c>
      <c r="C282" t="s">
        <v>592</v>
      </c>
      <c r="D282">
        <v>248.78</v>
      </c>
      <c r="E282" s="8">
        <v>17861.93</v>
      </c>
      <c r="F282">
        <v>60000</v>
      </c>
      <c r="G282">
        <v>41609.69</v>
      </c>
      <c r="H282">
        <v>41609.69</v>
      </c>
    </row>
    <row r="283" spans="1:8" x14ac:dyDescent="0.2">
      <c r="A283">
        <v>952</v>
      </c>
      <c r="B283">
        <v>35197</v>
      </c>
      <c r="C283" t="s">
        <v>935</v>
      </c>
      <c r="D283">
        <v>0</v>
      </c>
      <c r="E283" s="8">
        <v>0</v>
      </c>
      <c r="F283">
        <v>0</v>
      </c>
      <c r="G283">
        <v>0</v>
      </c>
      <c r="H283">
        <v>0</v>
      </c>
    </row>
    <row r="284" spans="1:8" x14ac:dyDescent="0.2">
      <c r="A284">
        <v>952</v>
      </c>
      <c r="B284">
        <v>35198</v>
      </c>
      <c r="C284" t="s">
        <v>593</v>
      </c>
      <c r="D284">
        <v>0</v>
      </c>
      <c r="E284" s="8">
        <v>0</v>
      </c>
      <c r="F284">
        <v>5000</v>
      </c>
      <c r="G284">
        <v>11438.24</v>
      </c>
      <c r="H284">
        <v>11438.24</v>
      </c>
    </row>
    <row r="285" spans="1:8" x14ac:dyDescent="0.2">
      <c r="A285">
        <v>952</v>
      </c>
      <c r="B285">
        <v>35199</v>
      </c>
      <c r="C285" t="s">
        <v>594</v>
      </c>
      <c r="D285">
        <v>0</v>
      </c>
      <c r="E285" s="8">
        <v>0</v>
      </c>
      <c r="F285">
        <v>0</v>
      </c>
      <c r="G285">
        <v>780.97</v>
      </c>
      <c r="H285">
        <v>780.97</v>
      </c>
    </row>
    <row r="286" spans="1:8" x14ac:dyDescent="0.2">
      <c r="A286">
        <v>952</v>
      </c>
      <c r="B286">
        <v>35200</v>
      </c>
      <c r="C286" t="s">
        <v>512</v>
      </c>
      <c r="D286">
        <v>2215.29</v>
      </c>
      <c r="E286" s="8">
        <v>18475.41</v>
      </c>
      <c r="F286">
        <v>21396</v>
      </c>
      <c r="G286">
        <v>17914.72</v>
      </c>
      <c r="H286">
        <v>17914.72</v>
      </c>
    </row>
    <row r="287" spans="1:8" x14ac:dyDescent="0.2">
      <c r="A287">
        <v>952</v>
      </c>
      <c r="B287">
        <v>35201</v>
      </c>
      <c r="C287" t="s">
        <v>595</v>
      </c>
      <c r="D287">
        <v>0</v>
      </c>
      <c r="E287" s="8">
        <v>0</v>
      </c>
      <c r="F287">
        <v>0</v>
      </c>
      <c r="G287">
        <v>0</v>
      </c>
      <c r="H287">
        <v>0</v>
      </c>
    </row>
    <row r="288" spans="1:8" x14ac:dyDescent="0.2">
      <c r="A288">
        <v>952</v>
      </c>
      <c r="B288">
        <v>35203</v>
      </c>
      <c r="C288" t="s">
        <v>596</v>
      </c>
      <c r="D288">
        <v>0</v>
      </c>
      <c r="E288" s="8">
        <v>2320.81</v>
      </c>
      <c r="F288">
        <v>1500</v>
      </c>
      <c r="G288">
        <v>472.19</v>
      </c>
      <c r="H288">
        <v>472.19</v>
      </c>
    </row>
    <row r="289" spans="1:8" x14ac:dyDescent="0.2">
      <c r="A289">
        <v>952</v>
      </c>
      <c r="B289">
        <v>35204</v>
      </c>
      <c r="C289" t="s">
        <v>597</v>
      </c>
      <c r="D289">
        <v>361.92</v>
      </c>
      <c r="E289" s="8">
        <v>361.92</v>
      </c>
      <c r="F289">
        <v>5000</v>
      </c>
      <c r="G289">
        <v>0</v>
      </c>
      <c r="H289">
        <v>0</v>
      </c>
    </row>
    <row r="290" spans="1:8" x14ac:dyDescent="0.2">
      <c r="A290">
        <v>952</v>
      </c>
      <c r="B290">
        <v>35205</v>
      </c>
      <c r="C290" t="s">
        <v>916</v>
      </c>
      <c r="D290">
        <v>0</v>
      </c>
      <c r="E290" s="8">
        <v>0</v>
      </c>
      <c r="F290">
        <v>0</v>
      </c>
      <c r="G290">
        <v>0</v>
      </c>
      <c r="H290">
        <v>0</v>
      </c>
    </row>
    <row r="291" spans="1:8" x14ac:dyDescent="0.2">
      <c r="A291">
        <v>952</v>
      </c>
      <c r="B291">
        <v>35210</v>
      </c>
      <c r="C291" t="s">
        <v>598</v>
      </c>
      <c r="D291">
        <v>0</v>
      </c>
      <c r="E291" s="8">
        <v>0</v>
      </c>
      <c r="F291">
        <v>0</v>
      </c>
      <c r="G291">
        <v>0</v>
      </c>
      <c r="H291">
        <v>0</v>
      </c>
    </row>
    <row r="292" spans="1:8" x14ac:dyDescent="0.2">
      <c r="A292">
        <v>952</v>
      </c>
      <c r="B292">
        <v>35215</v>
      </c>
      <c r="C292" t="s">
        <v>599</v>
      </c>
      <c r="D292">
        <v>0</v>
      </c>
      <c r="E292" s="8">
        <v>626.08000000000004</v>
      </c>
      <c r="F292">
        <v>2000</v>
      </c>
      <c r="G292">
        <v>955.81</v>
      </c>
      <c r="H292">
        <v>955.81</v>
      </c>
    </row>
    <row r="293" spans="1:8" x14ac:dyDescent="0.2">
      <c r="A293">
        <v>952</v>
      </c>
      <c r="B293">
        <v>35220</v>
      </c>
      <c r="C293" t="s">
        <v>600</v>
      </c>
      <c r="D293">
        <v>472.65</v>
      </c>
      <c r="E293" s="8">
        <v>5043.3100000000004</v>
      </c>
      <c r="F293">
        <v>8500</v>
      </c>
      <c r="G293">
        <v>7728.26</v>
      </c>
      <c r="H293">
        <v>7728.26</v>
      </c>
    </row>
    <row r="294" spans="1:8" x14ac:dyDescent="0.2">
      <c r="A294">
        <v>952</v>
      </c>
      <c r="B294">
        <v>35225</v>
      </c>
      <c r="C294" t="s">
        <v>56</v>
      </c>
      <c r="D294">
        <v>0</v>
      </c>
      <c r="E294" s="8">
        <v>0</v>
      </c>
      <c r="F294">
        <v>0</v>
      </c>
      <c r="G294">
        <v>0</v>
      </c>
      <c r="H294">
        <v>0</v>
      </c>
    </row>
    <row r="295" spans="1:8" x14ac:dyDescent="0.2">
      <c r="A295">
        <v>952</v>
      </c>
      <c r="B295">
        <v>35230</v>
      </c>
      <c r="C295" t="s">
        <v>516</v>
      </c>
      <c r="D295">
        <v>872.69</v>
      </c>
      <c r="E295" s="8">
        <v>9373.9599999999991</v>
      </c>
      <c r="F295">
        <v>11000</v>
      </c>
      <c r="G295">
        <v>10795.65</v>
      </c>
      <c r="H295">
        <v>10795.65</v>
      </c>
    </row>
    <row r="296" spans="1:8" x14ac:dyDescent="0.2">
      <c r="A296">
        <v>952</v>
      </c>
      <c r="B296">
        <v>35250</v>
      </c>
      <c r="C296" t="s">
        <v>542</v>
      </c>
      <c r="D296">
        <v>0</v>
      </c>
      <c r="E296" s="8">
        <v>0</v>
      </c>
      <c r="F296">
        <v>0</v>
      </c>
      <c r="G296">
        <v>0</v>
      </c>
      <c r="H296">
        <v>0</v>
      </c>
    </row>
    <row r="297" spans="1:8" x14ac:dyDescent="0.2">
      <c r="A297">
        <v>952</v>
      </c>
      <c r="B297">
        <v>35253</v>
      </c>
      <c r="C297" t="s">
        <v>499</v>
      </c>
      <c r="D297">
        <v>0</v>
      </c>
      <c r="E297" s="8">
        <v>0</v>
      </c>
      <c r="F297">
        <v>0</v>
      </c>
      <c r="G297">
        <v>0</v>
      </c>
      <c r="H297">
        <v>0</v>
      </c>
    </row>
    <row r="298" spans="1:8" x14ac:dyDescent="0.2">
      <c r="A298">
        <v>952</v>
      </c>
      <c r="B298">
        <v>35255</v>
      </c>
      <c r="C298" t="s">
        <v>619</v>
      </c>
      <c r="D298">
        <v>0</v>
      </c>
      <c r="E298" s="8">
        <v>0</v>
      </c>
      <c r="F298">
        <v>0</v>
      </c>
      <c r="G298">
        <v>0</v>
      </c>
      <c r="H298">
        <v>0</v>
      </c>
    </row>
    <row r="299" spans="1:8" x14ac:dyDescent="0.2">
      <c r="A299">
        <v>952</v>
      </c>
      <c r="B299">
        <v>35258</v>
      </c>
      <c r="C299" t="s">
        <v>520</v>
      </c>
      <c r="D299">
        <v>0</v>
      </c>
      <c r="E299" s="8">
        <v>0</v>
      </c>
      <c r="F299">
        <v>0</v>
      </c>
      <c r="G299">
        <v>0</v>
      </c>
      <c r="H299">
        <v>0</v>
      </c>
    </row>
    <row r="300" spans="1:8" x14ac:dyDescent="0.2">
      <c r="A300">
        <v>952</v>
      </c>
      <c r="B300">
        <v>35260</v>
      </c>
      <c r="C300" t="s">
        <v>569</v>
      </c>
      <c r="D300">
        <v>0</v>
      </c>
      <c r="E300" s="8">
        <v>0</v>
      </c>
      <c r="F300">
        <v>0</v>
      </c>
      <c r="G300">
        <v>0</v>
      </c>
      <c r="H300">
        <v>0</v>
      </c>
    </row>
    <row r="301" spans="1:8" x14ac:dyDescent="0.2">
      <c r="A301">
        <v>952</v>
      </c>
      <c r="B301">
        <v>35263</v>
      </c>
      <c r="C301" t="s">
        <v>571</v>
      </c>
      <c r="D301">
        <v>0</v>
      </c>
      <c r="E301" s="8">
        <v>0</v>
      </c>
      <c r="F301">
        <v>0</v>
      </c>
      <c r="G301">
        <v>0</v>
      </c>
      <c r="H301">
        <v>0</v>
      </c>
    </row>
    <row r="302" spans="1:8" x14ac:dyDescent="0.2">
      <c r="A302">
        <v>952</v>
      </c>
      <c r="B302">
        <v>35265</v>
      </c>
      <c r="C302" t="s">
        <v>491</v>
      </c>
      <c r="D302">
        <v>0</v>
      </c>
      <c r="E302" s="8">
        <v>0</v>
      </c>
      <c r="F302">
        <v>0</v>
      </c>
      <c r="G302">
        <v>0</v>
      </c>
      <c r="H302">
        <v>0</v>
      </c>
    </row>
    <row r="303" spans="1:8" x14ac:dyDescent="0.2">
      <c r="A303">
        <v>952</v>
      </c>
      <c r="B303">
        <v>35270</v>
      </c>
      <c r="C303" t="s">
        <v>544</v>
      </c>
      <c r="D303">
        <v>0</v>
      </c>
      <c r="E303" s="8">
        <v>0</v>
      </c>
      <c r="F303">
        <v>0</v>
      </c>
      <c r="G303">
        <v>0</v>
      </c>
      <c r="H303">
        <v>0</v>
      </c>
    </row>
    <row r="304" spans="1:8" x14ac:dyDescent="0.2">
      <c r="A304">
        <v>952</v>
      </c>
      <c r="B304">
        <v>35273</v>
      </c>
      <c r="C304" t="s">
        <v>828</v>
      </c>
      <c r="D304">
        <v>0</v>
      </c>
      <c r="E304" s="8">
        <v>0</v>
      </c>
      <c r="F304" s="8">
        <v>0</v>
      </c>
      <c r="G304">
        <v>0</v>
      </c>
      <c r="H304">
        <v>0</v>
      </c>
    </row>
    <row r="305" spans="1:8" x14ac:dyDescent="0.2">
      <c r="A305">
        <v>952</v>
      </c>
      <c r="B305">
        <v>35275</v>
      </c>
      <c r="C305" t="s">
        <v>557</v>
      </c>
      <c r="D305">
        <v>0</v>
      </c>
      <c r="E305" s="8">
        <v>0</v>
      </c>
      <c r="F305">
        <v>0</v>
      </c>
      <c r="G305">
        <v>0</v>
      </c>
      <c r="H305">
        <v>0</v>
      </c>
    </row>
    <row r="306" spans="1:8" x14ac:dyDescent="0.2">
      <c r="A306">
        <v>952</v>
      </c>
      <c r="B306">
        <v>35278</v>
      </c>
      <c r="C306" t="s">
        <v>572</v>
      </c>
      <c r="D306">
        <v>0</v>
      </c>
      <c r="E306" s="8">
        <v>0</v>
      </c>
      <c r="F306">
        <v>0</v>
      </c>
      <c r="G306">
        <v>0</v>
      </c>
      <c r="H306">
        <v>0</v>
      </c>
    </row>
    <row r="307" spans="1:8" x14ac:dyDescent="0.2">
      <c r="A307">
        <v>952</v>
      </c>
      <c r="B307">
        <v>35280</v>
      </c>
      <c r="C307" t="s">
        <v>620</v>
      </c>
      <c r="D307">
        <v>0</v>
      </c>
      <c r="E307" s="8">
        <v>0</v>
      </c>
      <c r="F307">
        <v>0</v>
      </c>
      <c r="G307">
        <v>0</v>
      </c>
      <c r="H307">
        <v>0</v>
      </c>
    </row>
    <row r="308" spans="1:8" x14ac:dyDescent="0.2">
      <c r="A308">
        <v>952</v>
      </c>
      <c r="B308">
        <v>35283</v>
      </c>
      <c r="C308" t="s">
        <v>580</v>
      </c>
      <c r="D308">
        <v>0</v>
      </c>
      <c r="E308" s="8">
        <v>0</v>
      </c>
      <c r="F308">
        <v>0</v>
      </c>
      <c r="G308">
        <v>0</v>
      </c>
      <c r="H308">
        <v>0</v>
      </c>
    </row>
    <row r="309" spans="1:8" x14ac:dyDescent="0.2">
      <c r="A309">
        <v>952</v>
      </c>
      <c r="B309">
        <v>35290</v>
      </c>
      <c r="C309" t="s">
        <v>621</v>
      </c>
      <c r="D309">
        <v>0</v>
      </c>
      <c r="E309" s="8">
        <v>0</v>
      </c>
      <c r="F309">
        <v>0</v>
      </c>
      <c r="G309">
        <v>0</v>
      </c>
      <c r="H309">
        <v>0</v>
      </c>
    </row>
    <row r="310" spans="1:8" x14ac:dyDescent="0.2">
      <c r="A310">
        <v>952</v>
      </c>
      <c r="B310">
        <v>35291</v>
      </c>
      <c r="C310" t="s">
        <v>595</v>
      </c>
      <c r="D310">
        <v>0</v>
      </c>
      <c r="E310" s="8">
        <v>0</v>
      </c>
      <c r="F310">
        <v>0</v>
      </c>
      <c r="G310">
        <v>0</v>
      </c>
      <c r="H310">
        <v>0</v>
      </c>
    </row>
    <row r="311" spans="1:8" x14ac:dyDescent="0.2">
      <c r="A311">
        <v>952</v>
      </c>
      <c r="B311">
        <v>35292</v>
      </c>
      <c r="C311" t="s">
        <v>916</v>
      </c>
      <c r="D311">
        <v>0</v>
      </c>
      <c r="E311" s="8">
        <v>0</v>
      </c>
      <c r="F311">
        <v>0</v>
      </c>
      <c r="G311">
        <v>0</v>
      </c>
      <c r="H311">
        <v>0</v>
      </c>
    </row>
    <row r="312" spans="1:8" x14ac:dyDescent="0.2">
      <c r="A312">
        <v>952</v>
      </c>
      <c r="B312">
        <v>35295</v>
      </c>
      <c r="C312" t="s">
        <v>558</v>
      </c>
      <c r="D312">
        <v>0</v>
      </c>
      <c r="E312" s="8">
        <v>0</v>
      </c>
      <c r="F312">
        <v>0</v>
      </c>
      <c r="G312">
        <v>0</v>
      </c>
      <c r="H312">
        <v>0</v>
      </c>
    </row>
    <row r="313" spans="1:8" x14ac:dyDescent="0.2">
      <c r="A313">
        <v>952</v>
      </c>
      <c r="B313">
        <v>35296</v>
      </c>
      <c r="C313" t="s">
        <v>559</v>
      </c>
      <c r="D313">
        <v>0</v>
      </c>
      <c r="E313" s="8">
        <v>0</v>
      </c>
      <c r="F313">
        <v>0</v>
      </c>
      <c r="G313">
        <v>0</v>
      </c>
      <c r="H313">
        <v>0</v>
      </c>
    </row>
    <row r="314" spans="1:8" x14ac:dyDescent="0.2">
      <c r="A314">
        <v>952</v>
      </c>
      <c r="B314">
        <v>35297</v>
      </c>
      <c r="C314" t="s">
        <v>519</v>
      </c>
      <c r="D314">
        <v>0</v>
      </c>
      <c r="E314" s="8">
        <v>0</v>
      </c>
      <c r="F314">
        <v>0</v>
      </c>
      <c r="G314">
        <v>0</v>
      </c>
      <c r="H314">
        <v>0</v>
      </c>
    </row>
    <row r="315" spans="1:8" x14ac:dyDescent="0.2">
      <c r="A315">
        <v>952</v>
      </c>
      <c r="B315">
        <v>35298</v>
      </c>
      <c r="C315" t="s">
        <v>516</v>
      </c>
      <c r="D315">
        <v>0</v>
      </c>
      <c r="E315" s="8">
        <v>0</v>
      </c>
      <c r="F315">
        <v>0</v>
      </c>
      <c r="G315">
        <v>0</v>
      </c>
      <c r="H315">
        <v>0</v>
      </c>
    </row>
    <row r="316" spans="1:8" x14ac:dyDescent="0.2">
      <c r="A316">
        <v>952</v>
      </c>
      <c r="B316">
        <v>35300</v>
      </c>
      <c r="C316" t="s">
        <v>499</v>
      </c>
      <c r="D316">
        <v>680.58</v>
      </c>
      <c r="E316" s="8">
        <v>1299.19</v>
      </c>
      <c r="F316">
        <v>1000</v>
      </c>
      <c r="G316">
        <v>1153.83</v>
      </c>
      <c r="H316">
        <v>1153.83</v>
      </c>
    </row>
    <row r="317" spans="1:8" x14ac:dyDescent="0.2">
      <c r="A317">
        <v>952</v>
      </c>
      <c r="B317">
        <v>35305</v>
      </c>
      <c r="C317" t="s">
        <v>622</v>
      </c>
      <c r="D317">
        <v>518.01</v>
      </c>
      <c r="E317" s="8">
        <v>4843.1899999999996</v>
      </c>
      <c r="F317">
        <v>5700</v>
      </c>
      <c r="G317">
        <v>4714.03</v>
      </c>
      <c r="H317">
        <v>4714.03</v>
      </c>
    </row>
    <row r="318" spans="1:8" x14ac:dyDescent="0.2">
      <c r="A318">
        <v>952</v>
      </c>
      <c r="B318">
        <v>35310</v>
      </c>
      <c r="C318" t="s">
        <v>520</v>
      </c>
      <c r="D318">
        <v>0</v>
      </c>
      <c r="E318" s="8">
        <v>0</v>
      </c>
      <c r="F318">
        <v>0</v>
      </c>
      <c r="G318">
        <v>0</v>
      </c>
      <c r="H318">
        <v>0</v>
      </c>
    </row>
    <row r="319" spans="1:8" x14ac:dyDescent="0.2">
      <c r="A319">
        <v>952</v>
      </c>
      <c r="B319">
        <v>35315</v>
      </c>
      <c r="C319" t="s">
        <v>518</v>
      </c>
      <c r="D319">
        <v>0</v>
      </c>
      <c r="E319" s="8">
        <v>28.5</v>
      </c>
      <c r="F319">
        <v>0</v>
      </c>
      <c r="G319">
        <v>80</v>
      </c>
      <c r="H319">
        <v>80</v>
      </c>
    </row>
    <row r="320" spans="1:8" x14ac:dyDescent="0.2">
      <c r="A320">
        <v>952</v>
      </c>
      <c r="B320">
        <v>35320</v>
      </c>
      <c r="C320" t="s">
        <v>623</v>
      </c>
      <c r="D320">
        <v>0</v>
      </c>
      <c r="E320" s="8">
        <v>1847.82</v>
      </c>
      <c r="F320">
        <v>3500</v>
      </c>
      <c r="G320">
        <v>2578</v>
      </c>
      <c r="H320">
        <v>2578</v>
      </c>
    </row>
    <row r="321" spans="1:8" x14ac:dyDescent="0.2">
      <c r="A321">
        <v>952</v>
      </c>
      <c r="B321">
        <v>35325</v>
      </c>
      <c r="C321" t="s">
        <v>571</v>
      </c>
      <c r="D321">
        <v>0</v>
      </c>
      <c r="E321" s="8">
        <v>110.87</v>
      </c>
      <c r="F321">
        <v>500</v>
      </c>
      <c r="G321">
        <v>574.04999999999995</v>
      </c>
      <c r="H321">
        <v>574.04999999999995</v>
      </c>
    </row>
    <row r="322" spans="1:8" x14ac:dyDescent="0.2">
      <c r="A322">
        <v>952</v>
      </c>
      <c r="B322">
        <v>35330</v>
      </c>
      <c r="C322" t="s">
        <v>491</v>
      </c>
      <c r="D322">
        <v>73.48</v>
      </c>
      <c r="E322" s="8">
        <v>621.54999999999995</v>
      </c>
      <c r="F322">
        <v>2000</v>
      </c>
      <c r="G322">
        <v>2490.33</v>
      </c>
      <c r="H322">
        <v>2490.33</v>
      </c>
    </row>
    <row r="323" spans="1:8" x14ac:dyDescent="0.2">
      <c r="A323">
        <v>952</v>
      </c>
      <c r="B323">
        <v>35335</v>
      </c>
      <c r="C323" t="s">
        <v>624</v>
      </c>
      <c r="D323">
        <v>0</v>
      </c>
      <c r="E323" s="8">
        <v>1439.1</v>
      </c>
      <c r="F323">
        <v>1500</v>
      </c>
      <c r="G323">
        <v>1773.43</v>
      </c>
      <c r="H323">
        <v>1773.43</v>
      </c>
    </row>
    <row r="324" spans="1:8" x14ac:dyDescent="0.2">
      <c r="A324">
        <v>952</v>
      </c>
      <c r="B324">
        <v>35340</v>
      </c>
      <c r="C324" t="s">
        <v>828</v>
      </c>
      <c r="D324">
        <v>385.48</v>
      </c>
      <c r="E324" s="8">
        <v>3252.12</v>
      </c>
      <c r="F324">
        <v>3000</v>
      </c>
      <c r="G324">
        <v>2189.59</v>
      </c>
      <c r="H324">
        <v>2189.59</v>
      </c>
    </row>
    <row r="325" spans="1:8" x14ac:dyDescent="0.2">
      <c r="A325">
        <v>952</v>
      </c>
      <c r="B325">
        <v>35345</v>
      </c>
      <c r="C325" t="s">
        <v>557</v>
      </c>
      <c r="D325">
        <v>0</v>
      </c>
      <c r="E325" s="8">
        <v>0</v>
      </c>
      <c r="F325">
        <v>0</v>
      </c>
      <c r="G325">
        <v>0</v>
      </c>
      <c r="H325">
        <v>0</v>
      </c>
    </row>
    <row r="326" spans="1:8" x14ac:dyDescent="0.2">
      <c r="A326">
        <v>952</v>
      </c>
      <c r="B326">
        <v>35350</v>
      </c>
      <c r="C326" t="s">
        <v>625</v>
      </c>
      <c r="D326">
        <v>0</v>
      </c>
      <c r="E326" s="8">
        <v>0</v>
      </c>
      <c r="F326">
        <v>100</v>
      </c>
      <c r="G326">
        <v>200.09</v>
      </c>
      <c r="H326">
        <v>200.09</v>
      </c>
    </row>
    <row r="327" spans="1:8" x14ac:dyDescent="0.2">
      <c r="A327">
        <v>952</v>
      </c>
      <c r="B327">
        <v>35355</v>
      </c>
      <c r="C327" t="s">
        <v>620</v>
      </c>
      <c r="D327">
        <v>0</v>
      </c>
      <c r="E327" s="8">
        <v>0</v>
      </c>
      <c r="F327">
        <v>0</v>
      </c>
      <c r="G327">
        <v>0</v>
      </c>
      <c r="H327">
        <v>0</v>
      </c>
    </row>
    <row r="328" spans="1:8" x14ac:dyDescent="0.2">
      <c r="A328">
        <v>952</v>
      </c>
      <c r="B328">
        <v>35360</v>
      </c>
      <c r="C328" t="s">
        <v>626</v>
      </c>
      <c r="D328">
        <v>67.83</v>
      </c>
      <c r="E328" s="8">
        <v>878.15</v>
      </c>
      <c r="F328">
        <v>1000</v>
      </c>
      <c r="G328">
        <v>764.91</v>
      </c>
      <c r="H328">
        <v>764.91</v>
      </c>
    </row>
    <row r="329" spans="1:8" x14ac:dyDescent="0.2">
      <c r="A329">
        <v>952</v>
      </c>
      <c r="B329">
        <v>35361</v>
      </c>
      <c r="C329" t="s">
        <v>1199</v>
      </c>
      <c r="D329">
        <v>0</v>
      </c>
      <c r="E329" s="8">
        <v>181.73</v>
      </c>
      <c r="F329">
        <v>200</v>
      </c>
      <c r="G329">
        <v>0</v>
      </c>
      <c r="H329">
        <v>0</v>
      </c>
    </row>
    <row r="330" spans="1:8" x14ac:dyDescent="0.2">
      <c r="A330">
        <v>952</v>
      </c>
      <c r="B330">
        <v>35365</v>
      </c>
      <c r="C330" t="s">
        <v>627</v>
      </c>
      <c r="D330">
        <v>0</v>
      </c>
      <c r="E330" s="8">
        <v>0</v>
      </c>
      <c r="F330">
        <v>0</v>
      </c>
      <c r="G330">
        <v>0</v>
      </c>
      <c r="H330">
        <v>0</v>
      </c>
    </row>
    <row r="331" spans="1:8" x14ac:dyDescent="0.2">
      <c r="A331">
        <v>952</v>
      </c>
      <c r="B331">
        <v>35400</v>
      </c>
      <c r="C331" t="s">
        <v>512</v>
      </c>
      <c r="D331">
        <v>2205.98</v>
      </c>
      <c r="E331" s="8">
        <v>18300.14</v>
      </c>
      <c r="F331">
        <v>26960</v>
      </c>
      <c r="G331">
        <v>15637.03</v>
      </c>
      <c r="H331">
        <v>15637.03</v>
      </c>
    </row>
    <row r="332" spans="1:8" x14ac:dyDescent="0.2">
      <c r="A332">
        <v>952</v>
      </c>
      <c r="B332">
        <v>35401</v>
      </c>
      <c r="C332" t="s">
        <v>595</v>
      </c>
      <c r="D332">
        <v>0</v>
      </c>
      <c r="E332" s="8">
        <v>0</v>
      </c>
      <c r="F332">
        <v>0</v>
      </c>
      <c r="G332">
        <v>0</v>
      </c>
      <c r="H332">
        <v>0</v>
      </c>
    </row>
    <row r="333" spans="1:8" x14ac:dyDescent="0.2">
      <c r="A333">
        <v>952</v>
      </c>
      <c r="B333">
        <v>35410</v>
      </c>
      <c r="C333" t="s">
        <v>628</v>
      </c>
      <c r="D333">
        <v>0</v>
      </c>
      <c r="E333" s="8">
        <v>201.96</v>
      </c>
      <c r="F333">
        <v>1500</v>
      </c>
      <c r="G333">
        <v>231.75</v>
      </c>
      <c r="H333">
        <v>231.75</v>
      </c>
    </row>
    <row r="334" spans="1:8" x14ac:dyDescent="0.2">
      <c r="A334">
        <v>952</v>
      </c>
      <c r="B334">
        <v>35415</v>
      </c>
      <c r="C334" t="s">
        <v>454</v>
      </c>
      <c r="D334">
        <v>437.72</v>
      </c>
      <c r="E334" s="8">
        <v>4244.58</v>
      </c>
      <c r="F334">
        <v>5000</v>
      </c>
      <c r="G334">
        <v>9749.5499999999993</v>
      </c>
      <c r="H334">
        <v>9749.5499999999993</v>
      </c>
    </row>
    <row r="335" spans="1:8" x14ac:dyDescent="0.2">
      <c r="A335">
        <v>952</v>
      </c>
      <c r="B335">
        <v>35420</v>
      </c>
      <c r="C335" t="s">
        <v>57</v>
      </c>
      <c r="D335">
        <v>0</v>
      </c>
      <c r="E335" s="8">
        <v>0</v>
      </c>
      <c r="F335">
        <v>0</v>
      </c>
      <c r="G335">
        <v>0</v>
      </c>
      <c r="H335">
        <v>0</v>
      </c>
    </row>
    <row r="336" spans="1:8" x14ac:dyDescent="0.2">
      <c r="A336">
        <v>952</v>
      </c>
      <c r="B336">
        <v>35425</v>
      </c>
      <c r="C336" t="s">
        <v>516</v>
      </c>
      <c r="D336">
        <v>215.84</v>
      </c>
      <c r="E336" s="8">
        <v>1565.8</v>
      </c>
      <c r="F336">
        <v>3000</v>
      </c>
      <c r="G336">
        <v>1799.98</v>
      </c>
      <c r="H336">
        <v>1799.98</v>
      </c>
    </row>
    <row r="337" spans="1:14" x14ac:dyDescent="0.2">
      <c r="A337">
        <v>952</v>
      </c>
      <c r="B337">
        <v>35510</v>
      </c>
      <c r="C337" t="s">
        <v>629</v>
      </c>
      <c r="D337">
        <v>2878.58</v>
      </c>
      <c r="E337" s="8">
        <v>274654.15000000002</v>
      </c>
      <c r="F337">
        <v>307275</v>
      </c>
      <c r="G337">
        <v>304587.87</v>
      </c>
      <c r="H337">
        <v>304587.87</v>
      </c>
    </row>
    <row r="338" spans="1:14" x14ac:dyDescent="0.2">
      <c r="A338">
        <v>952</v>
      </c>
      <c r="B338">
        <v>35515</v>
      </c>
      <c r="C338" t="s">
        <v>630</v>
      </c>
      <c r="D338">
        <v>1044.55</v>
      </c>
      <c r="E338" s="8">
        <v>9477.25</v>
      </c>
      <c r="F338">
        <v>20000</v>
      </c>
      <c r="G338">
        <v>45529.62</v>
      </c>
      <c r="H338">
        <v>45529.62</v>
      </c>
    </row>
    <row r="339" spans="1:14" x14ac:dyDescent="0.2">
      <c r="A339">
        <v>952</v>
      </c>
      <c r="B339">
        <v>35520</v>
      </c>
      <c r="C339" t="s">
        <v>631</v>
      </c>
      <c r="D339">
        <v>1059.1300000000001</v>
      </c>
      <c r="E339" s="8">
        <v>45351.7</v>
      </c>
      <c r="F339">
        <v>40612</v>
      </c>
      <c r="G339">
        <v>12320.31</v>
      </c>
      <c r="H339">
        <v>12320.31</v>
      </c>
      <c r="J339" s="8"/>
      <c r="K339" s="8"/>
      <c r="L339" s="8"/>
      <c r="M339" s="8"/>
      <c r="N339" s="8"/>
    </row>
    <row r="340" spans="1:14" x14ac:dyDescent="0.2">
      <c r="A340">
        <v>952</v>
      </c>
      <c r="B340">
        <v>35525</v>
      </c>
      <c r="C340" t="s">
        <v>632</v>
      </c>
      <c r="D340">
        <v>2457.9699999999998</v>
      </c>
      <c r="E340" s="8">
        <v>56090.55</v>
      </c>
      <c r="F340">
        <v>190204</v>
      </c>
      <c r="G340">
        <v>117459.54</v>
      </c>
      <c r="H340">
        <v>117459.54</v>
      </c>
    </row>
    <row r="341" spans="1:14" s="8" customFormat="1" x14ac:dyDescent="0.2">
      <c r="A341" s="8">
        <v>952</v>
      </c>
      <c r="B341" s="8">
        <v>35526</v>
      </c>
      <c r="C341" s="8" t="s">
        <v>1200</v>
      </c>
      <c r="D341" s="8">
        <v>4427</v>
      </c>
      <c r="E341" s="8">
        <v>35645.57</v>
      </c>
      <c r="F341" s="8">
        <v>38000</v>
      </c>
      <c r="G341" s="8">
        <v>0</v>
      </c>
      <c r="H341" s="8">
        <v>0</v>
      </c>
    </row>
    <row r="342" spans="1:14" s="8" customFormat="1" x14ac:dyDescent="0.2">
      <c r="A342" s="8">
        <v>952</v>
      </c>
      <c r="B342" s="8">
        <v>35527</v>
      </c>
      <c r="C342" s="8" t="s">
        <v>1201</v>
      </c>
      <c r="D342" s="8">
        <v>926.72</v>
      </c>
      <c r="E342" s="8">
        <v>7632.31</v>
      </c>
      <c r="F342" s="8">
        <v>13750</v>
      </c>
      <c r="G342" s="8">
        <v>0</v>
      </c>
      <c r="H342" s="8">
        <v>0</v>
      </c>
    </row>
    <row r="343" spans="1:14" s="8" customFormat="1" x14ac:dyDescent="0.2">
      <c r="A343" s="8">
        <v>952</v>
      </c>
      <c r="B343" s="8">
        <v>35528</v>
      </c>
      <c r="C343" s="8" t="s">
        <v>1202</v>
      </c>
      <c r="D343" s="8">
        <v>5209.58</v>
      </c>
      <c r="E343" s="8">
        <v>44392.04</v>
      </c>
      <c r="F343" s="8">
        <v>100000</v>
      </c>
      <c r="G343" s="8">
        <v>0</v>
      </c>
      <c r="H343" s="8">
        <v>0</v>
      </c>
    </row>
    <row r="344" spans="1:14" x14ac:dyDescent="0.2">
      <c r="A344" s="8">
        <v>952</v>
      </c>
      <c r="B344" s="8">
        <v>35529</v>
      </c>
      <c r="C344" s="8" t="s">
        <v>1320</v>
      </c>
      <c r="D344" s="8">
        <v>0</v>
      </c>
      <c r="E344" s="8">
        <v>0</v>
      </c>
      <c r="F344" s="8">
        <v>0</v>
      </c>
      <c r="G344" s="8">
        <v>0</v>
      </c>
      <c r="H344" s="8">
        <v>0</v>
      </c>
    </row>
    <row r="345" spans="1:14" x14ac:dyDescent="0.2">
      <c r="A345">
        <v>952</v>
      </c>
      <c r="B345">
        <v>35530</v>
      </c>
      <c r="C345" t="s">
        <v>633</v>
      </c>
      <c r="D345">
        <v>0</v>
      </c>
      <c r="E345" s="8">
        <v>758.51</v>
      </c>
      <c r="F345">
        <v>10000</v>
      </c>
      <c r="G345">
        <v>3906.02</v>
      </c>
      <c r="H345">
        <v>3906.02</v>
      </c>
    </row>
    <row r="346" spans="1:14" x14ac:dyDescent="0.2">
      <c r="A346">
        <v>952</v>
      </c>
      <c r="B346">
        <v>35535</v>
      </c>
      <c r="C346" t="s">
        <v>634</v>
      </c>
      <c r="D346">
        <v>0</v>
      </c>
      <c r="E346" s="8">
        <v>4645.97</v>
      </c>
      <c r="F346">
        <v>12000</v>
      </c>
      <c r="G346">
        <v>5618.08</v>
      </c>
      <c r="H346">
        <v>5618.08</v>
      </c>
    </row>
    <row r="347" spans="1:14" x14ac:dyDescent="0.2">
      <c r="A347">
        <v>952</v>
      </c>
      <c r="B347">
        <v>35540</v>
      </c>
      <c r="C347" t="s">
        <v>635</v>
      </c>
      <c r="D347">
        <v>102.82</v>
      </c>
      <c r="E347" s="8">
        <v>10428.9</v>
      </c>
      <c r="F347">
        <v>15000</v>
      </c>
      <c r="G347">
        <v>14917.62</v>
      </c>
      <c r="H347">
        <v>14917.62</v>
      </c>
    </row>
    <row r="348" spans="1:14" x14ac:dyDescent="0.2">
      <c r="A348">
        <v>952</v>
      </c>
      <c r="B348">
        <v>35545</v>
      </c>
      <c r="C348" t="s">
        <v>636</v>
      </c>
      <c r="D348">
        <v>542.47</v>
      </c>
      <c r="E348" s="8">
        <v>5701.14</v>
      </c>
      <c r="F348">
        <v>58000</v>
      </c>
      <c r="G348">
        <v>17121.330000000002</v>
      </c>
      <c r="H348">
        <v>17121.330000000002</v>
      </c>
    </row>
    <row r="349" spans="1:14" x14ac:dyDescent="0.2">
      <c r="A349">
        <v>952</v>
      </c>
      <c r="B349">
        <v>35550</v>
      </c>
      <c r="C349" t="s">
        <v>78</v>
      </c>
      <c r="D349">
        <v>0</v>
      </c>
      <c r="E349" s="8">
        <v>129.88</v>
      </c>
      <c r="F349">
        <v>7000</v>
      </c>
      <c r="G349">
        <v>6803.8</v>
      </c>
      <c r="H349">
        <v>6803.8</v>
      </c>
    </row>
    <row r="350" spans="1:14" s="8" customFormat="1" x14ac:dyDescent="0.2">
      <c r="A350" s="8">
        <v>952</v>
      </c>
      <c r="B350" s="8">
        <v>35555</v>
      </c>
      <c r="C350" s="8" t="s">
        <v>1203</v>
      </c>
      <c r="D350" s="8">
        <v>0</v>
      </c>
      <c r="E350" s="8">
        <v>149.09</v>
      </c>
      <c r="F350" s="8">
        <v>10000</v>
      </c>
      <c r="G350" s="8">
        <v>0</v>
      </c>
      <c r="H350" s="8">
        <v>0</v>
      </c>
    </row>
    <row r="351" spans="1:14" x14ac:dyDescent="0.2">
      <c r="A351">
        <v>952</v>
      </c>
      <c r="B351">
        <v>35600</v>
      </c>
      <c r="C351" t="s">
        <v>499</v>
      </c>
      <c r="D351">
        <v>0</v>
      </c>
      <c r="E351" s="8">
        <v>425.94</v>
      </c>
      <c r="F351">
        <v>750</v>
      </c>
      <c r="G351">
        <v>694.11</v>
      </c>
      <c r="H351">
        <v>694.11</v>
      </c>
    </row>
    <row r="352" spans="1:14" x14ac:dyDescent="0.2">
      <c r="A352">
        <v>952</v>
      </c>
      <c r="B352">
        <v>35605</v>
      </c>
      <c r="C352" t="s">
        <v>637</v>
      </c>
      <c r="D352">
        <v>647.66999999999996</v>
      </c>
      <c r="E352" s="8">
        <v>5486.06</v>
      </c>
      <c r="F352">
        <v>5500</v>
      </c>
      <c r="G352">
        <v>3461.92</v>
      </c>
      <c r="H352">
        <v>3461.92</v>
      </c>
    </row>
    <row r="353" spans="1:8" x14ac:dyDescent="0.2">
      <c r="A353">
        <v>952</v>
      </c>
      <c r="B353">
        <v>35610</v>
      </c>
      <c r="C353" t="s">
        <v>520</v>
      </c>
      <c r="D353">
        <v>0</v>
      </c>
      <c r="E353" s="8">
        <v>0</v>
      </c>
      <c r="F353">
        <v>0</v>
      </c>
      <c r="G353">
        <v>0</v>
      </c>
      <c r="H353">
        <v>0</v>
      </c>
    </row>
    <row r="354" spans="1:8" x14ac:dyDescent="0.2">
      <c r="A354">
        <v>952</v>
      </c>
      <c r="B354">
        <v>35615</v>
      </c>
      <c r="C354" t="s">
        <v>569</v>
      </c>
      <c r="D354">
        <v>0</v>
      </c>
      <c r="E354" s="8">
        <v>0</v>
      </c>
      <c r="F354">
        <v>0</v>
      </c>
      <c r="G354">
        <v>0</v>
      </c>
      <c r="H354">
        <v>0</v>
      </c>
    </row>
    <row r="355" spans="1:8" x14ac:dyDescent="0.2">
      <c r="A355">
        <v>952</v>
      </c>
      <c r="B355">
        <v>35620</v>
      </c>
      <c r="C355" t="s">
        <v>623</v>
      </c>
      <c r="D355">
        <v>1000</v>
      </c>
      <c r="E355" s="8">
        <v>1000</v>
      </c>
      <c r="F355">
        <v>1500</v>
      </c>
      <c r="G355">
        <v>1172.17</v>
      </c>
      <c r="H355">
        <v>1172.17</v>
      </c>
    </row>
    <row r="356" spans="1:8" x14ac:dyDescent="0.2">
      <c r="A356">
        <v>952</v>
      </c>
      <c r="B356">
        <v>35625</v>
      </c>
      <c r="C356" t="s">
        <v>571</v>
      </c>
      <c r="D356">
        <v>256.83</v>
      </c>
      <c r="E356" s="8">
        <v>256.83</v>
      </c>
      <c r="F356">
        <v>400</v>
      </c>
      <c r="G356">
        <v>321.72000000000003</v>
      </c>
      <c r="H356">
        <v>321.72000000000003</v>
      </c>
    </row>
    <row r="357" spans="1:8" x14ac:dyDescent="0.2">
      <c r="A357">
        <v>952</v>
      </c>
      <c r="B357">
        <v>35630</v>
      </c>
      <c r="C357" t="s">
        <v>544</v>
      </c>
      <c r="D357">
        <v>107.8</v>
      </c>
      <c r="E357" s="8">
        <v>619.83000000000004</v>
      </c>
      <c r="F357">
        <v>1500</v>
      </c>
      <c r="G357">
        <v>961.31</v>
      </c>
      <c r="H357">
        <v>961.31</v>
      </c>
    </row>
    <row r="358" spans="1:8" x14ac:dyDescent="0.2">
      <c r="A358">
        <v>952</v>
      </c>
      <c r="B358">
        <v>35635</v>
      </c>
      <c r="C358" t="s">
        <v>828</v>
      </c>
      <c r="D358">
        <v>263.74</v>
      </c>
      <c r="E358" s="8">
        <v>2279.0100000000002</v>
      </c>
      <c r="F358">
        <v>3000</v>
      </c>
      <c r="G358">
        <v>1892.43</v>
      </c>
      <c r="H358">
        <v>1892.43</v>
      </c>
    </row>
    <row r="359" spans="1:8" x14ac:dyDescent="0.2">
      <c r="A359">
        <v>952</v>
      </c>
      <c r="B359">
        <v>35640</v>
      </c>
      <c r="C359" t="s">
        <v>557</v>
      </c>
      <c r="D359">
        <v>0</v>
      </c>
      <c r="E359" s="8">
        <v>0</v>
      </c>
      <c r="F359">
        <v>200</v>
      </c>
      <c r="G359">
        <v>0</v>
      </c>
      <c r="H359">
        <v>0</v>
      </c>
    </row>
    <row r="360" spans="1:8" x14ac:dyDescent="0.2">
      <c r="A360">
        <v>952</v>
      </c>
      <c r="B360">
        <v>35645</v>
      </c>
      <c r="C360" t="s">
        <v>491</v>
      </c>
      <c r="D360">
        <v>42</v>
      </c>
      <c r="E360" s="8">
        <v>537.82000000000005</v>
      </c>
      <c r="F360">
        <v>2000</v>
      </c>
      <c r="G360">
        <v>2098.66</v>
      </c>
      <c r="H360">
        <v>2098.66</v>
      </c>
    </row>
    <row r="361" spans="1:8" x14ac:dyDescent="0.2">
      <c r="A361">
        <v>952</v>
      </c>
      <c r="B361">
        <v>35650</v>
      </c>
      <c r="C361" t="s">
        <v>572</v>
      </c>
      <c r="D361">
        <v>0</v>
      </c>
      <c r="E361" s="8">
        <v>0</v>
      </c>
      <c r="F361">
        <v>100</v>
      </c>
      <c r="G361">
        <v>0</v>
      </c>
      <c r="H361">
        <v>0</v>
      </c>
    </row>
    <row r="362" spans="1:8" x14ac:dyDescent="0.2">
      <c r="A362">
        <v>952</v>
      </c>
      <c r="B362">
        <v>35660</v>
      </c>
      <c r="C362" t="s">
        <v>626</v>
      </c>
      <c r="D362">
        <v>220.25</v>
      </c>
      <c r="E362" s="8">
        <v>1724.62</v>
      </c>
      <c r="F362">
        <v>2000</v>
      </c>
      <c r="G362">
        <v>2111.42</v>
      </c>
      <c r="H362">
        <v>2111.42</v>
      </c>
    </row>
    <row r="363" spans="1:8" x14ac:dyDescent="0.2">
      <c r="A363">
        <v>952</v>
      </c>
      <c r="B363">
        <v>35665</v>
      </c>
      <c r="C363" t="s">
        <v>1199</v>
      </c>
      <c r="D363">
        <v>70</v>
      </c>
      <c r="E363" s="8">
        <v>161.84</v>
      </c>
      <c r="F363">
        <v>200</v>
      </c>
      <c r="G363">
        <v>0</v>
      </c>
      <c r="H363">
        <v>0</v>
      </c>
    </row>
    <row r="364" spans="1:8" x14ac:dyDescent="0.2">
      <c r="A364">
        <v>952</v>
      </c>
      <c r="B364">
        <v>35700</v>
      </c>
      <c r="C364" t="s">
        <v>512</v>
      </c>
      <c r="D364">
        <v>2551.3200000000002</v>
      </c>
      <c r="E364" s="8">
        <v>21151.13</v>
      </c>
      <c r="F364">
        <v>22720</v>
      </c>
      <c r="G364">
        <v>20061.87</v>
      </c>
      <c r="H364">
        <v>20061.87</v>
      </c>
    </row>
    <row r="365" spans="1:8" x14ac:dyDescent="0.2">
      <c r="A365">
        <v>952</v>
      </c>
      <c r="B365">
        <v>35702</v>
      </c>
      <c r="C365" t="s">
        <v>595</v>
      </c>
      <c r="D365">
        <v>0</v>
      </c>
      <c r="E365" s="8">
        <v>0</v>
      </c>
      <c r="F365">
        <v>0</v>
      </c>
      <c r="G365">
        <v>26.09</v>
      </c>
      <c r="H365">
        <v>26.09</v>
      </c>
    </row>
    <row r="366" spans="1:8" x14ac:dyDescent="0.2">
      <c r="A366">
        <v>952</v>
      </c>
      <c r="B366">
        <v>35705</v>
      </c>
      <c r="C366" t="s">
        <v>558</v>
      </c>
      <c r="D366">
        <v>127.83</v>
      </c>
      <c r="E366" s="8">
        <v>392.4</v>
      </c>
      <c r="F366">
        <v>1500</v>
      </c>
      <c r="G366">
        <v>337</v>
      </c>
      <c r="H366">
        <v>337</v>
      </c>
    </row>
    <row r="367" spans="1:8" x14ac:dyDescent="0.2">
      <c r="A367">
        <v>952</v>
      </c>
      <c r="B367">
        <v>35710</v>
      </c>
      <c r="C367" t="s">
        <v>454</v>
      </c>
      <c r="D367">
        <v>617.54</v>
      </c>
      <c r="E367" s="8">
        <v>3062.04</v>
      </c>
      <c r="F367">
        <v>6500</v>
      </c>
      <c r="G367">
        <v>5318.39</v>
      </c>
      <c r="H367">
        <v>5318.39</v>
      </c>
    </row>
    <row r="368" spans="1:8" x14ac:dyDescent="0.2">
      <c r="A368">
        <v>952</v>
      </c>
      <c r="B368">
        <v>35715</v>
      </c>
      <c r="C368" t="s">
        <v>58</v>
      </c>
      <c r="D368">
        <v>0</v>
      </c>
      <c r="E368" s="8">
        <v>0</v>
      </c>
      <c r="F368">
        <v>0</v>
      </c>
      <c r="G368">
        <v>228.21</v>
      </c>
      <c r="H368">
        <v>228.21</v>
      </c>
    </row>
    <row r="369" spans="1:8" x14ac:dyDescent="0.2">
      <c r="A369">
        <v>952</v>
      </c>
      <c r="B369">
        <v>35720</v>
      </c>
      <c r="C369" t="s">
        <v>516</v>
      </c>
      <c r="D369">
        <v>233.9</v>
      </c>
      <c r="E369" s="8">
        <v>1531.1</v>
      </c>
      <c r="F369">
        <v>2000</v>
      </c>
      <c r="G369">
        <v>1531.26</v>
      </c>
      <c r="H369">
        <v>1531.26</v>
      </c>
    </row>
    <row r="370" spans="1:8" x14ac:dyDescent="0.2">
      <c r="A370">
        <v>952</v>
      </c>
      <c r="B370">
        <v>35800</v>
      </c>
      <c r="C370" t="s">
        <v>79</v>
      </c>
      <c r="D370">
        <v>3532.61</v>
      </c>
      <c r="E370" s="8">
        <v>28734.52</v>
      </c>
      <c r="F370">
        <v>32292</v>
      </c>
      <c r="G370">
        <v>65170.27</v>
      </c>
      <c r="H370">
        <v>65170.27</v>
      </c>
    </row>
    <row r="371" spans="1:8" x14ac:dyDescent="0.2">
      <c r="A371">
        <v>952</v>
      </c>
      <c r="B371">
        <v>35801</v>
      </c>
      <c r="C371" t="s">
        <v>80</v>
      </c>
      <c r="D371">
        <v>0</v>
      </c>
      <c r="E371" s="8">
        <v>5058.38</v>
      </c>
      <c r="F371">
        <v>10365</v>
      </c>
      <c r="G371">
        <v>5755.43</v>
      </c>
      <c r="H371">
        <v>5755.43</v>
      </c>
    </row>
    <row r="372" spans="1:8" x14ac:dyDescent="0.2">
      <c r="A372">
        <v>952</v>
      </c>
      <c r="B372">
        <v>35805</v>
      </c>
      <c r="C372" t="s">
        <v>643</v>
      </c>
      <c r="D372">
        <v>0</v>
      </c>
      <c r="E372" s="8">
        <v>313.04000000000002</v>
      </c>
      <c r="F372">
        <v>360</v>
      </c>
      <c r="G372">
        <v>798.26</v>
      </c>
      <c r="H372">
        <v>798.26</v>
      </c>
    </row>
    <row r="373" spans="1:8" x14ac:dyDescent="0.2">
      <c r="A373">
        <v>952</v>
      </c>
      <c r="B373">
        <v>35810</v>
      </c>
      <c r="C373" t="s">
        <v>81</v>
      </c>
      <c r="D373">
        <v>-165.07</v>
      </c>
      <c r="E373" s="8">
        <v>425.95</v>
      </c>
      <c r="F373">
        <v>850</v>
      </c>
      <c r="G373">
        <v>1020.42</v>
      </c>
      <c r="H373">
        <v>1020.42</v>
      </c>
    </row>
    <row r="374" spans="1:8" x14ac:dyDescent="0.2">
      <c r="A374">
        <v>952</v>
      </c>
      <c r="B374">
        <v>35830</v>
      </c>
      <c r="C374" t="s">
        <v>82</v>
      </c>
      <c r="D374">
        <v>0</v>
      </c>
      <c r="E374" s="8">
        <v>500</v>
      </c>
      <c r="F374">
        <v>1000</v>
      </c>
      <c r="G374">
        <v>0</v>
      </c>
      <c r="H374">
        <v>0</v>
      </c>
    </row>
    <row r="375" spans="1:8" x14ac:dyDescent="0.2">
      <c r="A375">
        <v>952</v>
      </c>
      <c r="B375">
        <v>35840</v>
      </c>
      <c r="C375" t="s">
        <v>83</v>
      </c>
      <c r="D375">
        <v>0</v>
      </c>
      <c r="E375" s="8">
        <v>158.93</v>
      </c>
      <c r="F375">
        <v>500</v>
      </c>
      <c r="G375">
        <v>708.73</v>
      </c>
      <c r="H375">
        <v>708.73</v>
      </c>
    </row>
    <row r="376" spans="1:8" x14ac:dyDescent="0.2">
      <c r="A376">
        <v>952</v>
      </c>
      <c r="B376">
        <v>35850</v>
      </c>
      <c r="C376" t="s">
        <v>644</v>
      </c>
      <c r="D376">
        <v>0</v>
      </c>
      <c r="E376" s="8">
        <v>0</v>
      </c>
      <c r="F376">
        <v>0</v>
      </c>
      <c r="G376">
        <v>0</v>
      </c>
      <c r="H376">
        <v>0</v>
      </c>
    </row>
    <row r="377" spans="1:8" x14ac:dyDescent="0.2">
      <c r="A377">
        <v>952</v>
      </c>
      <c r="B377">
        <v>35855</v>
      </c>
      <c r="C377" t="s">
        <v>491</v>
      </c>
      <c r="D377">
        <v>0</v>
      </c>
      <c r="E377" s="8">
        <v>52.65</v>
      </c>
      <c r="F377">
        <v>150</v>
      </c>
      <c r="G377">
        <v>41.35</v>
      </c>
      <c r="H377">
        <v>41.35</v>
      </c>
    </row>
    <row r="378" spans="1:8" x14ac:dyDescent="0.2">
      <c r="A378">
        <v>952</v>
      </c>
      <c r="B378">
        <v>35860</v>
      </c>
      <c r="C378" t="s">
        <v>498</v>
      </c>
      <c r="D378">
        <v>0</v>
      </c>
      <c r="E378" s="8">
        <v>83.53</v>
      </c>
      <c r="F378">
        <v>50</v>
      </c>
      <c r="G378">
        <v>2.8</v>
      </c>
      <c r="H378">
        <v>2.8</v>
      </c>
    </row>
    <row r="379" spans="1:8" x14ac:dyDescent="0.2">
      <c r="A379">
        <v>952</v>
      </c>
      <c r="B379">
        <v>35865</v>
      </c>
      <c r="C379" t="s">
        <v>645</v>
      </c>
      <c r="D379">
        <v>0</v>
      </c>
      <c r="E379" s="8">
        <v>2.61</v>
      </c>
      <c r="F379">
        <v>100</v>
      </c>
      <c r="G379">
        <v>90.62</v>
      </c>
      <c r="H379">
        <v>90.62</v>
      </c>
    </row>
    <row r="380" spans="1:8" x14ac:dyDescent="0.2">
      <c r="A380">
        <v>952</v>
      </c>
      <c r="B380">
        <v>35870</v>
      </c>
      <c r="C380" t="s">
        <v>646</v>
      </c>
      <c r="D380">
        <v>0</v>
      </c>
      <c r="E380" s="8">
        <v>0</v>
      </c>
      <c r="F380">
        <v>0</v>
      </c>
      <c r="G380">
        <v>0</v>
      </c>
      <c r="H380">
        <v>0</v>
      </c>
    </row>
    <row r="381" spans="1:8" x14ac:dyDescent="0.2">
      <c r="A381">
        <v>952</v>
      </c>
      <c r="B381">
        <v>35875</v>
      </c>
      <c r="C381" t="s">
        <v>647</v>
      </c>
      <c r="D381">
        <v>165.07</v>
      </c>
      <c r="E381" s="8">
        <v>165.07</v>
      </c>
      <c r="F381">
        <v>200</v>
      </c>
      <c r="G381">
        <v>86.91</v>
      </c>
      <c r="H381">
        <v>86.91</v>
      </c>
    </row>
    <row r="382" spans="1:8" x14ac:dyDescent="0.2">
      <c r="A382">
        <v>952</v>
      </c>
      <c r="B382">
        <v>35900</v>
      </c>
      <c r="C382" t="s">
        <v>648</v>
      </c>
      <c r="D382">
        <v>3780.15</v>
      </c>
      <c r="E382" s="8">
        <v>28747.57</v>
      </c>
      <c r="F382">
        <v>38878</v>
      </c>
      <c r="G382">
        <v>29035.24</v>
      </c>
      <c r="H382">
        <v>29035.24</v>
      </c>
    </row>
    <row r="383" spans="1:8" x14ac:dyDescent="0.2">
      <c r="A383">
        <v>952</v>
      </c>
      <c r="B383">
        <v>35910</v>
      </c>
      <c r="C383" t="s">
        <v>649</v>
      </c>
      <c r="D383">
        <v>40</v>
      </c>
      <c r="E383" s="8">
        <v>567.12</v>
      </c>
      <c r="F383">
        <v>650</v>
      </c>
      <c r="G383">
        <v>663.76</v>
      </c>
      <c r="H383">
        <v>663.76</v>
      </c>
    </row>
    <row r="384" spans="1:8" x14ac:dyDescent="0.2">
      <c r="A384">
        <v>952</v>
      </c>
      <c r="B384">
        <v>35920</v>
      </c>
      <c r="C384" t="s">
        <v>650</v>
      </c>
      <c r="D384">
        <v>0</v>
      </c>
      <c r="E384" s="8">
        <v>394.5</v>
      </c>
      <c r="F384">
        <v>1000</v>
      </c>
      <c r="G384">
        <v>464.2</v>
      </c>
      <c r="H384">
        <v>464.2</v>
      </c>
    </row>
    <row r="385" spans="1:16" x14ac:dyDescent="0.2">
      <c r="A385">
        <v>952</v>
      </c>
      <c r="B385">
        <v>35930</v>
      </c>
      <c r="C385" t="s">
        <v>651</v>
      </c>
      <c r="D385">
        <v>0</v>
      </c>
      <c r="E385" s="8">
        <v>661.97</v>
      </c>
      <c r="F385">
        <v>250</v>
      </c>
      <c r="G385">
        <v>81.09</v>
      </c>
      <c r="H385">
        <v>81.09</v>
      </c>
    </row>
    <row r="386" spans="1:16" x14ac:dyDescent="0.2">
      <c r="A386">
        <v>952</v>
      </c>
      <c r="B386">
        <v>35940</v>
      </c>
      <c r="C386" t="s">
        <v>652</v>
      </c>
      <c r="D386">
        <v>-114.66</v>
      </c>
      <c r="E386" s="8">
        <v>1167.92</v>
      </c>
      <c r="F386">
        <v>2127</v>
      </c>
      <c r="G386">
        <v>875.92</v>
      </c>
      <c r="H386">
        <v>875.92</v>
      </c>
    </row>
    <row r="387" spans="1:16" x14ac:dyDescent="0.2">
      <c r="A387">
        <v>952</v>
      </c>
      <c r="B387">
        <v>35960</v>
      </c>
      <c r="C387" t="s">
        <v>653</v>
      </c>
      <c r="D387">
        <v>0</v>
      </c>
      <c r="E387" s="8">
        <v>0</v>
      </c>
      <c r="F387">
        <v>100</v>
      </c>
      <c r="G387">
        <v>38.26</v>
      </c>
      <c r="H387">
        <v>38.26</v>
      </c>
    </row>
    <row r="388" spans="1:16" x14ac:dyDescent="0.2">
      <c r="A388">
        <v>952</v>
      </c>
      <c r="B388">
        <v>35970</v>
      </c>
      <c r="C388" t="s">
        <v>654</v>
      </c>
      <c r="D388">
        <v>0</v>
      </c>
      <c r="E388" s="8">
        <v>105</v>
      </c>
      <c r="F388">
        <v>1000</v>
      </c>
      <c r="G388">
        <v>200</v>
      </c>
      <c r="H388">
        <v>200</v>
      </c>
    </row>
    <row r="389" spans="1:16" x14ac:dyDescent="0.2">
      <c r="A389">
        <v>952</v>
      </c>
      <c r="B389">
        <v>35980</v>
      </c>
      <c r="C389" t="s">
        <v>655</v>
      </c>
      <c r="D389">
        <v>1790.39</v>
      </c>
      <c r="E389" s="8">
        <v>7415.84</v>
      </c>
      <c r="F389">
        <v>7000</v>
      </c>
      <c r="G389">
        <v>7065.72</v>
      </c>
      <c r="H389">
        <v>7065.72</v>
      </c>
    </row>
    <row r="390" spans="1:16" x14ac:dyDescent="0.2">
      <c r="A390">
        <v>952</v>
      </c>
      <c r="B390">
        <v>37000</v>
      </c>
      <c r="C390" t="s">
        <v>656</v>
      </c>
      <c r="D390">
        <v>0</v>
      </c>
      <c r="E390" s="8">
        <v>188.32</v>
      </c>
      <c r="F390">
        <v>850</v>
      </c>
      <c r="G390">
        <v>1272.75</v>
      </c>
      <c r="H390">
        <v>1272.75</v>
      </c>
    </row>
    <row r="391" spans="1:16" x14ac:dyDescent="0.2">
      <c r="A391">
        <v>952</v>
      </c>
      <c r="B391">
        <v>37010</v>
      </c>
      <c r="C391" t="s">
        <v>914</v>
      </c>
      <c r="D391">
        <v>617.03</v>
      </c>
      <c r="E391" s="8">
        <v>17408.93</v>
      </c>
      <c r="F391">
        <v>23500</v>
      </c>
      <c r="G391">
        <v>33805.94</v>
      </c>
      <c r="H391">
        <v>33805.94</v>
      </c>
    </row>
    <row r="392" spans="1:16" x14ac:dyDescent="0.2">
      <c r="A392">
        <v>952</v>
      </c>
      <c r="B392">
        <v>37030</v>
      </c>
      <c r="C392" t="s">
        <v>569</v>
      </c>
      <c r="D392">
        <v>0</v>
      </c>
      <c r="E392" s="8">
        <v>0</v>
      </c>
      <c r="F392">
        <v>0</v>
      </c>
      <c r="G392">
        <v>0</v>
      </c>
      <c r="H392">
        <v>0</v>
      </c>
      <c r="J392" s="8"/>
      <c r="K392" s="8"/>
      <c r="L392" s="8"/>
      <c r="M392" s="8"/>
      <c r="N392" s="8"/>
      <c r="O392" s="8"/>
      <c r="P392" s="8"/>
    </row>
    <row r="393" spans="1:16" x14ac:dyDescent="0.2">
      <c r="A393">
        <v>952</v>
      </c>
      <c r="B393">
        <v>37040</v>
      </c>
      <c r="C393" t="s">
        <v>657</v>
      </c>
      <c r="D393">
        <v>8056</v>
      </c>
      <c r="E393" s="8">
        <v>37719.17</v>
      </c>
      <c r="F393">
        <v>36400</v>
      </c>
      <c r="G393">
        <v>36541.31</v>
      </c>
      <c r="H393">
        <v>36541.31</v>
      </c>
      <c r="J393" s="8"/>
      <c r="K393" s="8"/>
      <c r="L393" s="8"/>
      <c r="M393" s="8"/>
      <c r="N393" s="8"/>
      <c r="O393" s="8"/>
      <c r="P393" s="8"/>
    </row>
    <row r="394" spans="1:16" x14ac:dyDescent="0.2">
      <c r="A394">
        <v>952</v>
      </c>
      <c r="B394">
        <v>37041</v>
      </c>
      <c r="C394" t="s">
        <v>658</v>
      </c>
      <c r="D394">
        <v>391.8</v>
      </c>
      <c r="E394" s="8">
        <v>391.8</v>
      </c>
      <c r="F394">
        <v>0</v>
      </c>
      <c r="G394">
        <v>192.36</v>
      </c>
      <c r="H394">
        <v>192.36</v>
      </c>
      <c r="J394" s="8"/>
      <c r="K394" s="8"/>
      <c r="L394" s="8"/>
      <c r="M394" s="8"/>
      <c r="N394" s="8"/>
      <c r="O394" s="8"/>
      <c r="P394" s="8"/>
    </row>
    <row r="395" spans="1:16" x14ac:dyDescent="0.2">
      <c r="A395">
        <v>952</v>
      </c>
      <c r="B395">
        <v>37050</v>
      </c>
      <c r="C395" t="s">
        <v>659</v>
      </c>
      <c r="D395">
        <v>5355</v>
      </c>
      <c r="E395" s="8">
        <v>23895.24</v>
      </c>
      <c r="F395">
        <v>27560</v>
      </c>
      <c r="G395">
        <v>563</v>
      </c>
      <c r="H395">
        <v>563</v>
      </c>
      <c r="I395" s="8"/>
      <c r="J395" s="8"/>
      <c r="K395" s="8"/>
      <c r="L395" s="8"/>
      <c r="M395" s="8"/>
      <c r="N395" s="8"/>
      <c r="O395" s="8"/>
      <c r="P395" s="8"/>
    </row>
    <row r="396" spans="1:16" x14ac:dyDescent="0.2">
      <c r="A396">
        <v>952</v>
      </c>
      <c r="B396">
        <v>37060</v>
      </c>
      <c r="C396" t="s">
        <v>660</v>
      </c>
      <c r="D396">
        <v>3800</v>
      </c>
      <c r="E396" s="8">
        <v>18640</v>
      </c>
      <c r="F396">
        <v>19000</v>
      </c>
      <c r="G396">
        <v>17654</v>
      </c>
      <c r="H396">
        <v>17654</v>
      </c>
      <c r="I396" s="8"/>
      <c r="J396" s="8"/>
      <c r="K396" s="8"/>
      <c r="L396" s="8"/>
      <c r="M396" s="8"/>
      <c r="N396" s="8"/>
      <c r="O396" s="8"/>
      <c r="P396" s="8"/>
    </row>
    <row r="397" spans="1:16" x14ac:dyDescent="0.2">
      <c r="A397">
        <v>952</v>
      </c>
      <c r="B397">
        <v>37070</v>
      </c>
      <c r="C397" t="s">
        <v>917</v>
      </c>
      <c r="D397">
        <v>2275</v>
      </c>
      <c r="E397" s="8">
        <v>13225</v>
      </c>
      <c r="F397">
        <v>15000</v>
      </c>
      <c r="G397">
        <v>12556.52</v>
      </c>
      <c r="H397">
        <v>12556.52</v>
      </c>
      <c r="I397" s="8"/>
      <c r="J397" s="8"/>
      <c r="K397" s="8"/>
      <c r="L397" s="8"/>
      <c r="M397" s="8"/>
      <c r="N397" s="8"/>
      <c r="O397" s="8"/>
      <c r="P397" s="8"/>
    </row>
    <row r="398" spans="1:16" x14ac:dyDescent="0.2">
      <c r="A398">
        <v>952</v>
      </c>
      <c r="B398">
        <v>37080</v>
      </c>
      <c r="C398" t="s">
        <v>661</v>
      </c>
      <c r="D398">
        <v>1690</v>
      </c>
      <c r="E398" s="8">
        <v>12207.01</v>
      </c>
      <c r="F398">
        <v>16500</v>
      </c>
      <c r="G398">
        <v>13780</v>
      </c>
      <c r="H398">
        <v>13780</v>
      </c>
      <c r="I398" s="8"/>
      <c r="J398" s="8"/>
      <c r="K398" s="8"/>
      <c r="L398" s="8"/>
      <c r="M398" s="8"/>
      <c r="N398" s="8"/>
      <c r="O398" s="8"/>
      <c r="P398" s="8"/>
    </row>
    <row r="399" spans="1:16" x14ac:dyDescent="0.2">
      <c r="A399">
        <v>952</v>
      </c>
      <c r="B399">
        <v>37085</v>
      </c>
      <c r="C399" t="s">
        <v>662</v>
      </c>
      <c r="D399">
        <v>0</v>
      </c>
      <c r="E399" s="8">
        <v>0</v>
      </c>
      <c r="F399">
        <v>0</v>
      </c>
      <c r="G399">
        <v>0</v>
      </c>
      <c r="H399">
        <v>0</v>
      </c>
      <c r="I399" s="8"/>
      <c r="J399" s="8"/>
      <c r="K399" s="8"/>
      <c r="L399" s="8"/>
      <c r="M399" s="8"/>
      <c r="N399" s="8"/>
      <c r="O399" s="8"/>
      <c r="P399" s="8"/>
    </row>
    <row r="400" spans="1:16" x14ac:dyDescent="0.2">
      <c r="A400">
        <v>952</v>
      </c>
      <c r="B400">
        <v>37090</v>
      </c>
      <c r="C400" t="s">
        <v>663</v>
      </c>
      <c r="D400">
        <v>900</v>
      </c>
      <c r="E400" s="8">
        <v>8199.1299999999992</v>
      </c>
      <c r="F400">
        <v>8000</v>
      </c>
      <c r="G400">
        <v>6745</v>
      </c>
      <c r="H400">
        <v>6745</v>
      </c>
      <c r="I400" s="8"/>
      <c r="J400" s="8"/>
      <c r="K400" s="8"/>
      <c r="L400" s="8"/>
      <c r="M400" s="8"/>
      <c r="N400" s="8"/>
      <c r="O400" s="8"/>
      <c r="P400" s="8"/>
    </row>
    <row r="401" spans="1:16" x14ac:dyDescent="0.2">
      <c r="A401">
        <v>952</v>
      </c>
      <c r="B401">
        <v>37130</v>
      </c>
      <c r="C401" t="s">
        <v>664</v>
      </c>
      <c r="D401">
        <v>1742</v>
      </c>
      <c r="E401" s="8">
        <v>12012</v>
      </c>
      <c r="F401">
        <v>16500</v>
      </c>
      <c r="G401">
        <v>15307.5</v>
      </c>
      <c r="H401">
        <v>15307.5</v>
      </c>
      <c r="I401" s="8"/>
      <c r="J401" s="8"/>
      <c r="K401" s="8"/>
      <c r="L401" s="8"/>
      <c r="M401" s="8"/>
      <c r="N401" s="8"/>
      <c r="O401" s="8"/>
      <c r="P401" s="8"/>
    </row>
    <row r="402" spans="1:16" x14ac:dyDescent="0.2">
      <c r="A402">
        <v>952</v>
      </c>
      <c r="B402">
        <v>37140</v>
      </c>
      <c r="C402" t="s">
        <v>665</v>
      </c>
      <c r="D402">
        <v>2176.09</v>
      </c>
      <c r="E402" s="8">
        <v>15247.59</v>
      </c>
      <c r="F402">
        <v>16500</v>
      </c>
      <c r="G402">
        <v>12449.69</v>
      </c>
      <c r="H402">
        <v>12449.69</v>
      </c>
      <c r="I402" s="8"/>
      <c r="J402" s="8"/>
      <c r="K402" s="8"/>
      <c r="L402" s="8"/>
      <c r="M402" s="8"/>
      <c r="N402" s="8"/>
      <c r="O402" s="8"/>
      <c r="P402" s="8"/>
    </row>
    <row r="403" spans="1:16" x14ac:dyDescent="0.2">
      <c r="A403" s="8">
        <v>952</v>
      </c>
      <c r="B403" s="8">
        <v>37141</v>
      </c>
      <c r="C403" s="8" t="s">
        <v>533</v>
      </c>
      <c r="D403" s="8">
        <v>0</v>
      </c>
      <c r="E403" s="8">
        <v>0</v>
      </c>
      <c r="F403" s="8">
        <v>0</v>
      </c>
      <c r="G403" s="8">
        <v>0</v>
      </c>
      <c r="H403" s="8">
        <v>0</v>
      </c>
      <c r="I403" s="8"/>
      <c r="J403" s="8"/>
      <c r="K403" s="8"/>
      <c r="L403" s="8"/>
      <c r="M403" s="8"/>
      <c r="N403" s="8"/>
      <c r="O403" s="8"/>
      <c r="P403" s="8"/>
    </row>
    <row r="404" spans="1:16" s="8" customFormat="1" x14ac:dyDescent="0.2">
      <c r="A404" s="8">
        <v>952</v>
      </c>
      <c r="B404" s="8">
        <v>37145</v>
      </c>
      <c r="C404" s="8" t="s">
        <v>1204</v>
      </c>
      <c r="D404" s="8">
        <v>0</v>
      </c>
      <c r="E404" s="8">
        <v>550</v>
      </c>
      <c r="F404" s="8">
        <v>1000</v>
      </c>
      <c r="G404" s="8">
        <v>0</v>
      </c>
      <c r="H404" s="8">
        <v>0</v>
      </c>
    </row>
    <row r="405" spans="1:16" x14ac:dyDescent="0.2">
      <c r="A405">
        <v>952</v>
      </c>
      <c r="B405">
        <v>37160</v>
      </c>
      <c r="C405" t="s">
        <v>828</v>
      </c>
      <c r="D405">
        <v>169.52</v>
      </c>
      <c r="E405" s="8">
        <v>5227.95</v>
      </c>
      <c r="F405">
        <v>5000</v>
      </c>
      <c r="G405">
        <v>8337.85</v>
      </c>
      <c r="H405">
        <v>8337.85</v>
      </c>
      <c r="I405" s="8"/>
      <c r="J405" s="8"/>
      <c r="K405" s="8"/>
      <c r="L405" s="8"/>
      <c r="M405" s="8"/>
      <c r="N405" s="8"/>
      <c r="O405" s="8"/>
      <c r="P405" s="8"/>
    </row>
    <row r="406" spans="1:16" x14ac:dyDescent="0.2">
      <c r="A406">
        <v>952</v>
      </c>
      <c r="B406">
        <v>37180</v>
      </c>
      <c r="C406" t="s">
        <v>491</v>
      </c>
      <c r="D406">
        <v>0</v>
      </c>
      <c r="E406" s="8">
        <v>1753.1</v>
      </c>
      <c r="F406">
        <v>2500</v>
      </c>
      <c r="G406">
        <v>2025.42</v>
      </c>
      <c r="H406">
        <v>2025.42</v>
      </c>
      <c r="J406" s="8"/>
      <c r="K406" s="8"/>
      <c r="L406" s="8"/>
      <c r="M406" s="8"/>
      <c r="N406" s="8"/>
      <c r="O406" s="8"/>
      <c r="P406" s="8"/>
    </row>
    <row r="407" spans="1:16" x14ac:dyDescent="0.2">
      <c r="A407">
        <v>952</v>
      </c>
      <c r="B407">
        <v>37185</v>
      </c>
      <c r="C407" t="s">
        <v>666</v>
      </c>
      <c r="D407">
        <v>113.49</v>
      </c>
      <c r="E407" s="8">
        <v>1605.92</v>
      </c>
      <c r="F407">
        <v>1450</v>
      </c>
      <c r="G407">
        <v>1641.68</v>
      </c>
      <c r="H407">
        <v>1641.68</v>
      </c>
      <c r="J407" s="8"/>
      <c r="K407" s="8"/>
      <c r="L407" s="8"/>
      <c r="M407" s="8"/>
      <c r="N407" s="8"/>
      <c r="O407" s="8"/>
      <c r="P407" s="8"/>
    </row>
    <row r="408" spans="1:16" x14ac:dyDescent="0.2">
      <c r="A408">
        <v>952</v>
      </c>
      <c r="B408">
        <v>37187</v>
      </c>
      <c r="C408" t="s">
        <v>498</v>
      </c>
      <c r="D408">
        <v>55.93</v>
      </c>
      <c r="E408" s="8">
        <v>743.52</v>
      </c>
      <c r="F408">
        <v>750</v>
      </c>
      <c r="G408">
        <v>923.16</v>
      </c>
      <c r="H408">
        <v>923.16</v>
      </c>
      <c r="J408" s="8"/>
      <c r="K408" s="8"/>
      <c r="L408" s="8"/>
      <c r="M408" s="8"/>
      <c r="N408" s="8"/>
      <c r="O408" s="8"/>
      <c r="P408" s="8"/>
    </row>
    <row r="409" spans="1:16" x14ac:dyDescent="0.2">
      <c r="A409">
        <v>952</v>
      </c>
      <c r="B409">
        <v>37190</v>
      </c>
      <c r="C409" t="s">
        <v>499</v>
      </c>
      <c r="D409">
        <v>25.22</v>
      </c>
      <c r="E409" s="8">
        <v>1660.64</v>
      </c>
      <c r="F409">
        <v>1300</v>
      </c>
      <c r="G409">
        <v>1209.6600000000001</v>
      </c>
      <c r="H409">
        <v>1209.6600000000001</v>
      </c>
      <c r="J409" s="8"/>
      <c r="K409" s="8"/>
      <c r="L409" s="8"/>
      <c r="M409" s="8"/>
      <c r="N409" s="8"/>
      <c r="O409" s="8"/>
      <c r="P409" s="8"/>
    </row>
    <row r="410" spans="1:16" x14ac:dyDescent="0.2">
      <c r="A410">
        <v>952</v>
      </c>
      <c r="B410">
        <v>37210</v>
      </c>
      <c r="C410" t="s">
        <v>557</v>
      </c>
      <c r="D410">
        <v>21.98</v>
      </c>
      <c r="E410" s="8">
        <v>833.79</v>
      </c>
      <c r="F410">
        <v>850</v>
      </c>
      <c r="G410">
        <v>858.72</v>
      </c>
      <c r="H410">
        <v>858.72</v>
      </c>
      <c r="J410" s="8"/>
      <c r="K410" s="8"/>
      <c r="L410" s="8"/>
      <c r="M410" s="8"/>
      <c r="N410" s="8"/>
      <c r="O410" s="8"/>
      <c r="P410" s="8"/>
    </row>
    <row r="411" spans="1:16" x14ac:dyDescent="0.2">
      <c r="A411">
        <v>952</v>
      </c>
      <c r="B411">
        <v>37250</v>
      </c>
      <c r="C411" t="s">
        <v>571</v>
      </c>
      <c r="D411">
        <v>0</v>
      </c>
      <c r="E411" s="8">
        <v>0</v>
      </c>
      <c r="F411">
        <v>350</v>
      </c>
      <c r="G411">
        <v>65</v>
      </c>
      <c r="H411">
        <v>65</v>
      </c>
      <c r="J411" s="8"/>
      <c r="K411" s="8"/>
      <c r="L411" s="8"/>
      <c r="M411" s="8"/>
      <c r="N411" s="8"/>
      <c r="O411" s="8"/>
      <c r="P411" s="8"/>
    </row>
    <row r="412" spans="1:16" x14ac:dyDescent="0.2">
      <c r="A412" s="8">
        <v>952</v>
      </c>
      <c r="B412" s="8">
        <v>37251</v>
      </c>
      <c r="C412" s="8" t="s">
        <v>1321</v>
      </c>
      <c r="D412" s="8">
        <v>0</v>
      </c>
      <c r="E412" s="8">
        <v>0</v>
      </c>
      <c r="F412" s="8">
        <v>0</v>
      </c>
      <c r="G412" s="8">
        <v>0</v>
      </c>
      <c r="H412" s="8">
        <v>0</v>
      </c>
      <c r="J412" s="8"/>
      <c r="K412" s="8"/>
      <c r="L412" s="8"/>
      <c r="M412" s="8"/>
      <c r="N412" s="8"/>
      <c r="O412" s="8"/>
      <c r="P412" s="8"/>
    </row>
    <row r="413" spans="1:16" x14ac:dyDescent="0.2">
      <c r="A413">
        <v>952</v>
      </c>
      <c r="B413">
        <v>37260</v>
      </c>
      <c r="C413" t="s">
        <v>667</v>
      </c>
      <c r="D413">
        <v>0</v>
      </c>
      <c r="E413" s="8">
        <v>0</v>
      </c>
      <c r="F413">
        <v>0</v>
      </c>
      <c r="G413">
        <v>0</v>
      </c>
      <c r="H413">
        <v>0</v>
      </c>
      <c r="J413" s="8"/>
      <c r="K413" s="8"/>
      <c r="L413" s="8"/>
      <c r="M413" s="8"/>
      <c r="N413" s="8"/>
      <c r="O413" s="8"/>
      <c r="P413" s="8"/>
    </row>
    <row r="414" spans="1:16" x14ac:dyDescent="0.2">
      <c r="A414">
        <v>952</v>
      </c>
      <c r="B414">
        <v>37270</v>
      </c>
      <c r="C414" t="s">
        <v>668</v>
      </c>
      <c r="D414">
        <v>0</v>
      </c>
      <c r="E414" s="8">
        <v>0</v>
      </c>
      <c r="F414">
        <v>0</v>
      </c>
      <c r="G414">
        <v>0</v>
      </c>
      <c r="H414">
        <v>0</v>
      </c>
      <c r="J414" s="8"/>
      <c r="K414" s="8"/>
      <c r="L414" s="8"/>
      <c r="M414" s="8"/>
      <c r="N414" s="8"/>
      <c r="O414" s="8"/>
      <c r="P414" s="8"/>
    </row>
    <row r="415" spans="1:16" x14ac:dyDescent="0.2">
      <c r="A415">
        <v>952</v>
      </c>
      <c r="B415">
        <v>37300</v>
      </c>
      <c r="C415" t="s">
        <v>512</v>
      </c>
      <c r="D415">
        <v>32420.82</v>
      </c>
      <c r="E415" s="8">
        <v>254140.95</v>
      </c>
      <c r="F415">
        <v>250151</v>
      </c>
      <c r="G415">
        <v>265038.81</v>
      </c>
      <c r="H415">
        <v>265038.81</v>
      </c>
      <c r="J415" s="8"/>
      <c r="K415" s="8"/>
      <c r="L415" s="8"/>
      <c r="M415" s="8"/>
      <c r="N415" s="8"/>
      <c r="O415" s="8"/>
      <c r="P415" s="8"/>
    </row>
    <row r="416" spans="1:16" x14ac:dyDescent="0.2">
      <c r="A416">
        <v>952</v>
      </c>
      <c r="B416">
        <v>37305</v>
      </c>
      <c r="C416" t="s">
        <v>669</v>
      </c>
      <c r="D416">
        <v>11319.01</v>
      </c>
      <c r="E416" s="8">
        <v>58194.28</v>
      </c>
      <c r="F416">
        <v>53392</v>
      </c>
      <c r="G416">
        <v>48859.92</v>
      </c>
      <c r="H416">
        <v>48859.92</v>
      </c>
      <c r="J416" s="8"/>
      <c r="K416" s="8"/>
      <c r="L416" s="8"/>
      <c r="M416" s="8"/>
      <c r="N416" s="8"/>
      <c r="O416" s="8"/>
      <c r="P416" s="8"/>
    </row>
    <row r="417" spans="1:16" x14ac:dyDescent="0.2">
      <c r="A417">
        <v>952</v>
      </c>
      <c r="B417">
        <v>37306</v>
      </c>
      <c r="C417" t="s">
        <v>225</v>
      </c>
      <c r="D417">
        <v>0</v>
      </c>
      <c r="E417" s="8">
        <v>1586.74</v>
      </c>
      <c r="F417">
        <v>6152</v>
      </c>
      <c r="G417">
        <v>6432.82</v>
      </c>
      <c r="H417">
        <v>6432.82</v>
      </c>
      <c r="J417" s="8"/>
      <c r="K417" s="8"/>
      <c r="L417" s="8"/>
      <c r="M417" s="8"/>
      <c r="N417" s="8"/>
      <c r="O417" s="8"/>
      <c r="P417" s="8"/>
    </row>
    <row r="418" spans="1:16" x14ac:dyDescent="0.2">
      <c r="A418">
        <v>952</v>
      </c>
      <c r="B418">
        <v>37315</v>
      </c>
      <c r="C418" t="s">
        <v>1077</v>
      </c>
      <c r="D418">
        <v>0</v>
      </c>
      <c r="E418" s="8">
        <v>0</v>
      </c>
      <c r="F418">
        <v>0</v>
      </c>
      <c r="G418">
        <v>0</v>
      </c>
      <c r="H418">
        <v>0</v>
      </c>
      <c r="J418" s="8"/>
      <c r="K418" s="8"/>
      <c r="L418" s="8"/>
      <c r="M418" s="8"/>
      <c r="N418" s="8"/>
      <c r="O418" s="8"/>
      <c r="P418" s="8"/>
    </row>
    <row r="419" spans="1:16" x14ac:dyDescent="0.2">
      <c r="A419">
        <v>952</v>
      </c>
      <c r="B419">
        <v>37316</v>
      </c>
      <c r="C419" t="s">
        <v>1078</v>
      </c>
      <c r="D419">
        <v>0</v>
      </c>
      <c r="E419" s="8">
        <v>947.83</v>
      </c>
      <c r="F419">
        <v>1090</v>
      </c>
      <c r="G419">
        <v>1702.61</v>
      </c>
      <c r="H419">
        <v>1702.61</v>
      </c>
      <c r="J419" s="8"/>
      <c r="K419" s="8"/>
      <c r="L419" s="8"/>
      <c r="M419" s="8"/>
      <c r="N419" s="8"/>
      <c r="O419" s="8"/>
      <c r="P419" s="8"/>
    </row>
    <row r="420" spans="1:16" x14ac:dyDescent="0.2">
      <c r="A420">
        <v>952</v>
      </c>
      <c r="B420">
        <v>37320</v>
      </c>
      <c r="C420" t="s">
        <v>558</v>
      </c>
      <c r="D420">
        <v>0</v>
      </c>
      <c r="E420" s="8">
        <v>2754.61</v>
      </c>
      <c r="F420">
        <v>1500</v>
      </c>
      <c r="G420">
        <v>513.53</v>
      </c>
      <c r="H420">
        <v>513.53</v>
      </c>
      <c r="J420" s="8"/>
      <c r="K420" s="8"/>
      <c r="L420" s="8"/>
      <c r="M420" s="8"/>
      <c r="N420" s="8"/>
      <c r="O420" s="8"/>
      <c r="P420" s="8"/>
    </row>
    <row r="421" spans="1:16" x14ac:dyDescent="0.2">
      <c r="A421">
        <v>952</v>
      </c>
      <c r="B421">
        <v>37330</v>
      </c>
      <c r="C421" t="s">
        <v>509</v>
      </c>
      <c r="D421">
        <v>0</v>
      </c>
      <c r="E421" s="8">
        <v>0</v>
      </c>
      <c r="F421">
        <v>0</v>
      </c>
      <c r="G421">
        <v>0</v>
      </c>
      <c r="H421">
        <v>0</v>
      </c>
      <c r="J421" s="8"/>
      <c r="K421" s="8"/>
      <c r="L421" s="8"/>
      <c r="M421" s="8"/>
      <c r="N421" s="8"/>
      <c r="O421" s="8"/>
      <c r="P421" s="8"/>
    </row>
    <row r="422" spans="1:16" x14ac:dyDescent="0.2">
      <c r="A422">
        <v>952</v>
      </c>
      <c r="B422">
        <v>37340</v>
      </c>
      <c r="C422" t="s">
        <v>454</v>
      </c>
      <c r="D422">
        <v>846.81</v>
      </c>
      <c r="E422" s="8">
        <v>33889.71</v>
      </c>
      <c r="F422">
        <v>26000</v>
      </c>
      <c r="G422">
        <v>29514.52</v>
      </c>
      <c r="H422">
        <v>29514.52</v>
      </c>
      <c r="J422" s="8"/>
      <c r="K422" s="8"/>
      <c r="L422" s="8"/>
      <c r="M422" s="8"/>
      <c r="N422" s="8"/>
      <c r="O422" s="8"/>
      <c r="P422" s="8"/>
    </row>
    <row r="423" spans="1:16" x14ac:dyDescent="0.2">
      <c r="A423">
        <v>952</v>
      </c>
      <c r="B423">
        <v>37400</v>
      </c>
      <c r="C423" t="s">
        <v>512</v>
      </c>
      <c r="D423">
        <v>1940.55</v>
      </c>
      <c r="E423" s="8">
        <v>16719.900000000001</v>
      </c>
      <c r="F423">
        <v>16960</v>
      </c>
      <c r="G423">
        <v>16710.009999999998</v>
      </c>
      <c r="H423">
        <v>16710.009999999998</v>
      </c>
      <c r="J423" s="8"/>
      <c r="K423" s="8"/>
      <c r="L423" s="8"/>
      <c r="M423" s="8"/>
      <c r="N423" s="8"/>
      <c r="O423" s="8"/>
      <c r="P423" s="8"/>
    </row>
    <row r="424" spans="1:16" x14ac:dyDescent="0.2">
      <c r="A424">
        <v>952</v>
      </c>
      <c r="B424">
        <v>37500</v>
      </c>
      <c r="C424" t="s">
        <v>512</v>
      </c>
      <c r="D424">
        <v>1586.6</v>
      </c>
      <c r="E424" s="8">
        <v>11795.97</v>
      </c>
      <c r="F424">
        <v>13558</v>
      </c>
      <c r="G424">
        <v>11121.69</v>
      </c>
      <c r="H424">
        <v>11121.69</v>
      </c>
      <c r="J424" s="8"/>
      <c r="K424" s="8"/>
      <c r="L424" s="8"/>
      <c r="M424" s="8"/>
      <c r="N424" s="8"/>
      <c r="O424" s="8"/>
      <c r="P424" s="8"/>
    </row>
    <row r="425" spans="1:16" x14ac:dyDescent="0.2">
      <c r="A425">
        <v>952</v>
      </c>
      <c r="B425">
        <v>37520</v>
      </c>
      <c r="C425" t="s">
        <v>505</v>
      </c>
      <c r="D425">
        <v>681.1</v>
      </c>
      <c r="E425" s="8">
        <v>6123.4</v>
      </c>
      <c r="F425">
        <v>6000</v>
      </c>
      <c r="G425">
        <v>8354.3799999999992</v>
      </c>
      <c r="H425">
        <v>8354.3799999999992</v>
      </c>
      <c r="J425" s="8"/>
      <c r="K425" s="8"/>
      <c r="L425" s="8"/>
      <c r="M425" s="8"/>
      <c r="N425" s="8"/>
      <c r="O425" s="8"/>
      <c r="P425" s="8"/>
    </row>
    <row r="426" spans="1:16" x14ac:dyDescent="0.2">
      <c r="A426">
        <v>952</v>
      </c>
      <c r="B426">
        <v>37530</v>
      </c>
      <c r="C426" t="s">
        <v>934</v>
      </c>
      <c r="D426">
        <v>0</v>
      </c>
      <c r="E426" s="8">
        <v>513.07000000000005</v>
      </c>
      <c r="F426">
        <v>500</v>
      </c>
      <c r="G426">
        <v>53.91</v>
      </c>
      <c r="H426">
        <v>53.91</v>
      </c>
      <c r="J426" s="8"/>
      <c r="K426" s="8"/>
      <c r="L426" s="8"/>
      <c r="M426" s="8"/>
      <c r="N426" s="8"/>
      <c r="O426" s="8"/>
      <c r="P426" s="8"/>
    </row>
    <row r="427" spans="1:16" x14ac:dyDescent="0.2">
      <c r="A427">
        <v>952</v>
      </c>
      <c r="B427">
        <v>37540</v>
      </c>
      <c r="C427" t="s">
        <v>828</v>
      </c>
      <c r="D427">
        <v>0</v>
      </c>
      <c r="E427" s="8">
        <v>13.15</v>
      </c>
      <c r="F427">
        <v>500</v>
      </c>
      <c r="G427">
        <v>378.31</v>
      </c>
      <c r="H427">
        <v>378.31</v>
      </c>
      <c r="J427" s="8"/>
      <c r="K427" s="8"/>
      <c r="L427" s="8"/>
      <c r="M427" s="8"/>
      <c r="N427" s="8"/>
      <c r="O427" s="8"/>
      <c r="P427" s="8"/>
    </row>
    <row r="428" spans="1:16" x14ac:dyDescent="0.2">
      <c r="A428">
        <v>952</v>
      </c>
      <c r="B428">
        <v>37600</v>
      </c>
      <c r="C428" t="s">
        <v>519</v>
      </c>
      <c r="D428">
        <v>0</v>
      </c>
      <c r="E428" s="8">
        <v>2128</v>
      </c>
      <c r="F428">
        <v>2128</v>
      </c>
      <c r="G428">
        <v>3290</v>
      </c>
      <c r="H428">
        <v>3290</v>
      </c>
      <c r="J428" s="8"/>
      <c r="K428" s="8"/>
      <c r="L428" s="8"/>
      <c r="M428" s="8"/>
      <c r="N428" s="8"/>
      <c r="O428" s="8"/>
      <c r="P428" s="8"/>
    </row>
    <row r="429" spans="1:16" x14ac:dyDescent="0.2">
      <c r="A429">
        <v>952</v>
      </c>
      <c r="B429">
        <v>37610</v>
      </c>
      <c r="C429" t="s">
        <v>827</v>
      </c>
      <c r="D429">
        <v>0</v>
      </c>
      <c r="E429" s="8">
        <v>595.88</v>
      </c>
      <c r="F429">
        <v>850</v>
      </c>
      <c r="G429">
        <v>834.96</v>
      </c>
      <c r="H429">
        <v>834.96</v>
      </c>
      <c r="J429" s="8"/>
      <c r="K429" s="8"/>
      <c r="L429" s="8"/>
      <c r="M429" s="8"/>
      <c r="N429" s="8"/>
      <c r="O429" s="8"/>
      <c r="P429" s="8"/>
    </row>
    <row r="430" spans="1:16" x14ac:dyDescent="0.2">
      <c r="A430">
        <v>952</v>
      </c>
      <c r="B430">
        <v>37620</v>
      </c>
      <c r="C430" t="s">
        <v>516</v>
      </c>
      <c r="D430">
        <v>68.22</v>
      </c>
      <c r="E430" s="8">
        <v>516.23</v>
      </c>
      <c r="F430">
        <v>500</v>
      </c>
      <c r="G430">
        <v>459.01</v>
      </c>
      <c r="H430">
        <v>459.01</v>
      </c>
    </row>
    <row r="431" spans="1:16" x14ac:dyDescent="0.2">
      <c r="A431">
        <v>952</v>
      </c>
      <c r="B431">
        <v>37630</v>
      </c>
      <c r="C431" t="s">
        <v>517</v>
      </c>
      <c r="D431">
        <v>0</v>
      </c>
      <c r="E431" s="8">
        <v>102.42</v>
      </c>
      <c r="F431">
        <v>450</v>
      </c>
      <c r="G431">
        <v>154.24</v>
      </c>
      <c r="H431">
        <v>154.24</v>
      </c>
    </row>
    <row r="432" spans="1:16" x14ac:dyDescent="0.2">
      <c r="A432">
        <v>952</v>
      </c>
      <c r="B432">
        <v>37640</v>
      </c>
      <c r="C432" t="s">
        <v>518</v>
      </c>
      <c r="D432">
        <v>0</v>
      </c>
      <c r="E432" s="8">
        <v>585.63</v>
      </c>
      <c r="F432">
        <v>700</v>
      </c>
      <c r="G432">
        <v>359.67</v>
      </c>
      <c r="H432">
        <v>359.67</v>
      </c>
    </row>
    <row r="433" spans="1:8" x14ac:dyDescent="0.2">
      <c r="A433">
        <v>952</v>
      </c>
      <c r="B433">
        <v>37730</v>
      </c>
      <c r="C433" t="s">
        <v>226</v>
      </c>
      <c r="D433">
        <v>2372.5</v>
      </c>
      <c r="E433" s="8">
        <v>17089.28</v>
      </c>
      <c r="F433">
        <v>22000</v>
      </c>
      <c r="G433">
        <v>18585.900000000001</v>
      </c>
      <c r="H433">
        <v>18585.900000000001</v>
      </c>
    </row>
    <row r="434" spans="1:8" x14ac:dyDescent="0.2">
      <c r="A434">
        <v>952</v>
      </c>
      <c r="B434">
        <v>37735</v>
      </c>
      <c r="C434" t="s">
        <v>227</v>
      </c>
      <c r="D434">
        <v>104.33</v>
      </c>
      <c r="E434" s="8">
        <v>209.74</v>
      </c>
      <c r="F434">
        <v>500</v>
      </c>
      <c r="G434">
        <v>153.52000000000001</v>
      </c>
      <c r="H434">
        <v>153.52000000000001</v>
      </c>
    </row>
    <row r="435" spans="1:8" x14ac:dyDescent="0.2">
      <c r="A435">
        <v>952</v>
      </c>
      <c r="B435">
        <v>37740</v>
      </c>
      <c r="C435" t="s">
        <v>228</v>
      </c>
      <c r="D435">
        <v>0</v>
      </c>
      <c r="E435" s="8">
        <v>0</v>
      </c>
      <c r="F435">
        <v>38028</v>
      </c>
      <c r="G435">
        <v>0</v>
      </c>
      <c r="H435">
        <v>0</v>
      </c>
    </row>
    <row r="436" spans="1:8" x14ac:dyDescent="0.2">
      <c r="A436">
        <v>952</v>
      </c>
      <c r="B436">
        <v>37745</v>
      </c>
      <c r="C436" t="s">
        <v>229</v>
      </c>
      <c r="D436">
        <v>0</v>
      </c>
      <c r="E436" s="8">
        <v>10814.86</v>
      </c>
      <c r="F436">
        <v>4500</v>
      </c>
      <c r="G436">
        <v>4317.47</v>
      </c>
      <c r="H436">
        <v>4317.47</v>
      </c>
    </row>
    <row r="437" spans="1:8" x14ac:dyDescent="0.2">
      <c r="A437">
        <v>952</v>
      </c>
      <c r="B437">
        <v>37750</v>
      </c>
      <c r="C437" t="s">
        <v>230</v>
      </c>
      <c r="D437">
        <v>36.94</v>
      </c>
      <c r="E437" s="8">
        <v>1232.82</v>
      </c>
      <c r="F437">
        <v>700</v>
      </c>
      <c r="G437">
        <v>55.19</v>
      </c>
      <c r="H437">
        <v>55.19</v>
      </c>
    </row>
    <row r="438" spans="1:8" x14ac:dyDescent="0.2">
      <c r="A438">
        <v>952</v>
      </c>
      <c r="B438">
        <v>37900</v>
      </c>
      <c r="C438" t="s">
        <v>512</v>
      </c>
      <c r="D438">
        <v>0</v>
      </c>
      <c r="E438" s="8">
        <v>0</v>
      </c>
      <c r="F438">
        <v>0</v>
      </c>
      <c r="G438">
        <v>0</v>
      </c>
      <c r="H438">
        <v>0</v>
      </c>
    </row>
    <row r="439" spans="1:8" x14ac:dyDescent="0.2">
      <c r="A439">
        <v>952</v>
      </c>
      <c r="B439">
        <v>37945</v>
      </c>
      <c r="C439" t="s">
        <v>1079</v>
      </c>
      <c r="D439">
        <v>0</v>
      </c>
      <c r="E439" s="8">
        <v>0</v>
      </c>
      <c r="F439">
        <v>0</v>
      </c>
      <c r="G439">
        <v>0</v>
      </c>
      <c r="H439">
        <v>0</v>
      </c>
    </row>
    <row r="440" spans="1:8" x14ac:dyDescent="0.2">
      <c r="A440">
        <v>952</v>
      </c>
      <c r="B440">
        <v>37960</v>
      </c>
      <c r="C440" t="s">
        <v>539</v>
      </c>
      <c r="D440">
        <v>0</v>
      </c>
      <c r="E440" s="8">
        <v>0</v>
      </c>
      <c r="F440">
        <v>0</v>
      </c>
      <c r="G440">
        <v>0</v>
      </c>
      <c r="H440">
        <v>0</v>
      </c>
    </row>
    <row r="441" spans="1:8" x14ac:dyDescent="0.2">
      <c r="A441">
        <v>952</v>
      </c>
      <c r="B441">
        <v>37965</v>
      </c>
      <c r="C441" t="s">
        <v>1080</v>
      </c>
      <c r="D441">
        <v>0</v>
      </c>
      <c r="E441" s="8">
        <v>0</v>
      </c>
      <c r="F441">
        <v>0</v>
      </c>
      <c r="G441">
        <v>0</v>
      </c>
      <c r="H441">
        <v>0</v>
      </c>
    </row>
    <row r="442" spans="1:8" x14ac:dyDescent="0.2">
      <c r="A442">
        <v>952</v>
      </c>
      <c r="B442">
        <v>38010</v>
      </c>
      <c r="C442" t="s">
        <v>1081</v>
      </c>
      <c r="D442">
        <v>25.21</v>
      </c>
      <c r="E442" s="8">
        <v>1093.05</v>
      </c>
      <c r="F442">
        <v>2000</v>
      </c>
      <c r="G442">
        <v>-434.78</v>
      </c>
      <c r="H442">
        <v>-434.78</v>
      </c>
    </row>
    <row r="443" spans="1:8" x14ac:dyDescent="0.2">
      <c r="A443">
        <v>952</v>
      </c>
      <c r="B443">
        <v>38020</v>
      </c>
      <c r="C443" t="s">
        <v>1082</v>
      </c>
      <c r="D443">
        <v>486.58</v>
      </c>
      <c r="E443" s="8">
        <v>4973.29</v>
      </c>
      <c r="F443">
        <v>8000</v>
      </c>
      <c r="G443">
        <v>5235.37</v>
      </c>
      <c r="H443">
        <v>5235.37</v>
      </c>
    </row>
    <row r="444" spans="1:8" x14ac:dyDescent="0.2">
      <c r="A444">
        <v>952</v>
      </c>
      <c r="B444">
        <v>38030</v>
      </c>
      <c r="C444" t="s">
        <v>1083</v>
      </c>
      <c r="D444">
        <v>0</v>
      </c>
      <c r="E444" s="8">
        <v>422.17</v>
      </c>
      <c r="F444">
        <v>2000</v>
      </c>
      <c r="G444">
        <v>83.49</v>
      </c>
      <c r="H444">
        <v>83.49</v>
      </c>
    </row>
    <row r="445" spans="1:8" x14ac:dyDescent="0.2">
      <c r="A445">
        <v>952</v>
      </c>
      <c r="B445">
        <v>38035</v>
      </c>
      <c r="C445" t="s">
        <v>595</v>
      </c>
      <c r="D445">
        <v>0</v>
      </c>
      <c r="E445" s="8">
        <v>0</v>
      </c>
      <c r="F445">
        <v>0</v>
      </c>
      <c r="G445">
        <v>0</v>
      </c>
      <c r="H445">
        <v>0</v>
      </c>
    </row>
    <row r="446" spans="1:8" x14ac:dyDescent="0.2">
      <c r="A446">
        <v>952</v>
      </c>
      <c r="B446">
        <v>38040</v>
      </c>
      <c r="C446" t="s">
        <v>1084</v>
      </c>
      <c r="D446">
        <v>0</v>
      </c>
      <c r="E446" s="8">
        <v>281.74</v>
      </c>
      <c r="F446">
        <v>0</v>
      </c>
      <c r="G446">
        <v>280.04000000000002</v>
      </c>
      <c r="H446">
        <v>280.04000000000002</v>
      </c>
    </row>
    <row r="447" spans="1:8" x14ac:dyDescent="0.2">
      <c r="A447">
        <v>952</v>
      </c>
      <c r="B447">
        <v>38050</v>
      </c>
      <c r="C447" t="s">
        <v>1085</v>
      </c>
      <c r="D447">
        <v>0</v>
      </c>
      <c r="E447" s="8">
        <v>1640.65</v>
      </c>
      <c r="F447">
        <v>750</v>
      </c>
      <c r="G447">
        <v>0</v>
      </c>
      <c r="H447">
        <v>0</v>
      </c>
    </row>
    <row r="448" spans="1:8" x14ac:dyDescent="0.2">
      <c r="A448">
        <v>952</v>
      </c>
      <c r="B448">
        <v>38070</v>
      </c>
      <c r="C448" t="s">
        <v>1086</v>
      </c>
      <c r="D448">
        <v>0</v>
      </c>
      <c r="E448" s="8">
        <v>0</v>
      </c>
      <c r="F448">
        <v>0</v>
      </c>
      <c r="G448">
        <v>0</v>
      </c>
      <c r="H448">
        <v>0</v>
      </c>
    </row>
    <row r="449" spans="1:13" x14ac:dyDescent="0.2">
      <c r="A449">
        <v>952</v>
      </c>
      <c r="B449">
        <v>38080</v>
      </c>
      <c r="C449" t="s">
        <v>1087</v>
      </c>
      <c r="D449">
        <v>570</v>
      </c>
      <c r="E449" s="8">
        <v>4770</v>
      </c>
      <c r="F449">
        <v>4000</v>
      </c>
      <c r="G449">
        <v>1200</v>
      </c>
      <c r="H449">
        <v>1200</v>
      </c>
    </row>
    <row r="450" spans="1:13" x14ac:dyDescent="0.2">
      <c r="A450">
        <v>952</v>
      </c>
      <c r="B450">
        <v>38090</v>
      </c>
      <c r="C450" t="s">
        <v>59</v>
      </c>
      <c r="D450">
        <v>0</v>
      </c>
      <c r="E450" s="8">
        <v>0</v>
      </c>
      <c r="F450">
        <v>0</v>
      </c>
      <c r="G450">
        <v>58693.440000000002</v>
      </c>
      <c r="H450">
        <v>58693.440000000002</v>
      </c>
    </row>
    <row r="451" spans="1:13" s="8" customFormat="1" x14ac:dyDescent="0.2">
      <c r="A451" s="8">
        <v>952</v>
      </c>
      <c r="B451" s="8">
        <v>38095</v>
      </c>
      <c r="C451" s="8" t="s">
        <v>1205</v>
      </c>
      <c r="D451" s="8">
        <v>0</v>
      </c>
      <c r="E451" s="8">
        <v>225.32</v>
      </c>
      <c r="F451" s="8">
        <v>3500</v>
      </c>
      <c r="G451" s="8">
        <v>0</v>
      </c>
      <c r="H451" s="8">
        <v>0</v>
      </c>
      <c r="I451" s="26"/>
    </row>
    <row r="452" spans="1:13" x14ac:dyDescent="0.2">
      <c r="A452">
        <v>952</v>
      </c>
      <c r="B452">
        <v>38220</v>
      </c>
      <c r="C452" t="s">
        <v>231</v>
      </c>
      <c r="D452">
        <v>62806.9</v>
      </c>
      <c r="E452" s="8">
        <v>505118.9</v>
      </c>
      <c r="F452">
        <v>702326</v>
      </c>
      <c r="G452">
        <v>758591.94</v>
      </c>
      <c r="H452">
        <v>758591.94</v>
      </c>
    </row>
    <row r="453" spans="1:13" x14ac:dyDescent="0.2">
      <c r="A453">
        <v>952</v>
      </c>
      <c r="B453">
        <v>38221</v>
      </c>
      <c r="C453" t="s">
        <v>232</v>
      </c>
      <c r="D453">
        <v>3059.99</v>
      </c>
      <c r="E453" s="8">
        <v>26361.17</v>
      </c>
      <c r="F453">
        <v>26606</v>
      </c>
      <c r="G453">
        <v>25068.43</v>
      </c>
      <c r="H453">
        <v>25068.43</v>
      </c>
    </row>
    <row r="454" spans="1:13" x14ac:dyDescent="0.2">
      <c r="A454">
        <v>952</v>
      </c>
      <c r="B454">
        <v>38222</v>
      </c>
      <c r="C454" t="s">
        <v>233</v>
      </c>
      <c r="D454">
        <v>0</v>
      </c>
      <c r="E454" s="8">
        <v>2538.5500000000002</v>
      </c>
      <c r="F454">
        <v>37965</v>
      </c>
      <c r="G454">
        <v>10721.15</v>
      </c>
      <c r="H454">
        <v>10721.15</v>
      </c>
    </row>
    <row r="455" spans="1:13" x14ac:dyDescent="0.2">
      <c r="A455">
        <v>952</v>
      </c>
      <c r="B455">
        <v>38250</v>
      </c>
      <c r="C455" t="s">
        <v>508</v>
      </c>
      <c r="D455">
        <v>0</v>
      </c>
      <c r="E455" s="8">
        <v>1478.26</v>
      </c>
      <c r="F455">
        <v>3442</v>
      </c>
      <c r="G455">
        <v>264.33</v>
      </c>
      <c r="H455">
        <v>264.33</v>
      </c>
    </row>
    <row r="456" spans="1:13" x14ac:dyDescent="0.2">
      <c r="A456">
        <v>952</v>
      </c>
      <c r="B456">
        <v>38260</v>
      </c>
      <c r="C456" t="s">
        <v>916</v>
      </c>
      <c r="D456">
        <v>442.25</v>
      </c>
      <c r="E456" s="8">
        <v>2513.9499999999998</v>
      </c>
      <c r="F456">
        <v>1000</v>
      </c>
      <c r="G456">
        <v>1304.96</v>
      </c>
      <c r="H456">
        <v>1304.96</v>
      </c>
    </row>
    <row r="457" spans="1:13" x14ac:dyDescent="0.2">
      <c r="A457">
        <v>952</v>
      </c>
      <c r="B457">
        <v>38270</v>
      </c>
      <c r="C457" t="s">
        <v>1088</v>
      </c>
      <c r="D457">
        <v>0</v>
      </c>
      <c r="E457" s="8">
        <v>3244.22</v>
      </c>
      <c r="F457">
        <v>4500</v>
      </c>
      <c r="G457">
        <v>5293.26</v>
      </c>
      <c r="H457">
        <v>5293.26</v>
      </c>
    </row>
    <row r="458" spans="1:13" x14ac:dyDescent="0.2">
      <c r="A458">
        <v>952</v>
      </c>
      <c r="B458">
        <v>38280</v>
      </c>
      <c r="C458" t="s">
        <v>1089</v>
      </c>
      <c r="D458">
        <v>0</v>
      </c>
      <c r="E458" s="8">
        <v>0</v>
      </c>
      <c r="F458">
        <v>300</v>
      </c>
      <c r="G458">
        <v>121.09</v>
      </c>
      <c r="H458">
        <v>121.09</v>
      </c>
    </row>
    <row r="459" spans="1:13" x14ac:dyDescent="0.2">
      <c r="A459">
        <v>952</v>
      </c>
      <c r="B459">
        <v>38300</v>
      </c>
      <c r="C459" t="s">
        <v>828</v>
      </c>
      <c r="D459">
        <v>311.25</v>
      </c>
      <c r="E459" s="8">
        <v>2143.9899999999998</v>
      </c>
      <c r="F459">
        <v>2000</v>
      </c>
      <c r="G459">
        <v>3114.6</v>
      </c>
      <c r="H459">
        <v>3114.6</v>
      </c>
    </row>
    <row r="460" spans="1:13" x14ac:dyDescent="0.2">
      <c r="A460">
        <v>952</v>
      </c>
      <c r="B460">
        <v>38307</v>
      </c>
      <c r="C460" t="s">
        <v>1090</v>
      </c>
      <c r="D460">
        <v>0</v>
      </c>
      <c r="E460" s="8">
        <v>0</v>
      </c>
      <c r="F460">
        <v>0</v>
      </c>
      <c r="G460">
        <v>0</v>
      </c>
      <c r="H460">
        <v>0</v>
      </c>
      <c r="M460" s="8"/>
    </row>
    <row r="461" spans="1:13" x14ac:dyDescent="0.2">
      <c r="A461">
        <v>952</v>
      </c>
      <c r="B461">
        <v>38310</v>
      </c>
      <c r="C461" t="s">
        <v>491</v>
      </c>
      <c r="D461">
        <v>0</v>
      </c>
      <c r="E461" s="8">
        <v>80.7</v>
      </c>
      <c r="F461">
        <v>500</v>
      </c>
      <c r="G461">
        <v>229.1</v>
      </c>
      <c r="H461">
        <v>229.1</v>
      </c>
      <c r="M461" s="8"/>
    </row>
    <row r="462" spans="1:13" x14ac:dyDescent="0.2">
      <c r="A462">
        <v>952</v>
      </c>
      <c r="B462">
        <v>38320</v>
      </c>
      <c r="C462" t="s">
        <v>499</v>
      </c>
      <c r="D462">
        <v>0</v>
      </c>
      <c r="E462" s="8">
        <v>81.510000000000005</v>
      </c>
      <c r="F462">
        <v>150</v>
      </c>
      <c r="G462">
        <v>19.510000000000002</v>
      </c>
      <c r="H462">
        <v>19.510000000000002</v>
      </c>
      <c r="M462" s="8"/>
    </row>
    <row r="463" spans="1:13" x14ac:dyDescent="0.2">
      <c r="A463">
        <v>952</v>
      </c>
      <c r="B463">
        <v>38340</v>
      </c>
      <c r="C463" t="s">
        <v>498</v>
      </c>
      <c r="D463">
        <v>0</v>
      </c>
      <c r="E463" s="8">
        <v>0</v>
      </c>
      <c r="F463">
        <v>0</v>
      </c>
      <c r="G463">
        <v>0</v>
      </c>
      <c r="H463">
        <v>0</v>
      </c>
      <c r="M463" s="8"/>
    </row>
    <row r="464" spans="1:13" x14ac:dyDescent="0.2">
      <c r="A464">
        <v>952</v>
      </c>
      <c r="B464">
        <v>38350</v>
      </c>
      <c r="C464" t="s">
        <v>556</v>
      </c>
      <c r="D464">
        <v>238.36</v>
      </c>
      <c r="E464" s="8">
        <v>2602.2199999999998</v>
      </c>
      <c r="F464">
        <v>2800</v>
      </c>
      <c r="G464">
        <v>2605.11</v>
      </c>
      <c r="H464">
        <v>2605.11</v>
      </c>
      <c r="M464" s="8"/>
    </row>
    <row r="465" spans="1:13" x14ac:dyDescent="0.2">
      <c r="A465">
        <v>952</v>
      </c>
      <c r="B465">
        <v>38370</v>
      </c>
      <c r="C465" t="s">
        <v>1091</v>
      </c>
      <c r="D465">
        <v>0</v>
      </c>
      <c r="E465" s="8">
        <v>48.35</v>
      </c>
      <c r="F465">
        <v>0</v>
      </c>
      <c r="G465">
        <v>0</v>
      </c>
      <c r="H465">
        <v>0</v>
      </c>
      <c r="M465" s="8"/>
    </row>
    <row r="466" spans="1:13" x14ac:dyDescent="0.2">
      <c r="A466">
        <v>952</v>
      </c>
      <c r="B466">
        <v>38390</v>
      </c>
      <c r="C466" t="s">
        <v>498</v>
      </c>
      <c r="D466">
        <v>0</v>
      </c>
      <c r="E466" s="8">
        <v>270.04000000000002</v>
      </c>
      <c r="F466">
        <v>750</v>
      </c>
      <c r="G466">
        <v>934.44</v>
      </c>
      <c r="H466">
        <v>934.44</v>
      </c>
      <c r="M466" s="8"/>
    </row>
    <row r="467" spans="1:13" x14ac:dyDescent="0.2">
      <c r="A467">
        <v>952</v>
      </c>
      <c r="B467">
        <v>38400</v>
      </c>
      <c r="C467" t="s">
        <v>505</v>
      </c>
      <c r="D467">
        <v>2724.91</v>
      </c>
      <c r="E467" s="8">
        <v>19635.91</v>
      </c>
      <c r="F467">
        <v>20000</v>
      </c>
      <c r="G467">
        <v>15307.09</v>
      </c>
      <c r="H467">
        <v>15307.09</v>
      </c>
      <c r="M467" s="8"/>
    </row>
    <row r="468" spans="1:13" x14ac:dyDescent="0.2">
      <c r="A468">
        <v>952</v>
      </c>
      <c r="B468">
        <v>38410</v>
      </c>
      <c r="C468" t="s">
        <v>828</v>
      </c>
      <c r="D468">
        <v>0</v>
      </c>
      <c r="E468" s="8">
        <v>387.83</v>
      </c>
      <c r="F468">
        <v>750</v>
      </c>
      <c r="G468">
        <v>557.73</v>
      </c>
      <c r="H468">
        <v>557.73</v>
      </c>
      <c r="M468" s="8"/>
    </row>
    <row r="469" spans="1:13" x14ac:dyDescent="0.2">
      <c r="A469">
        <v>952</v>
      </c>
      <c r="B469">
        <v>38420</v>
      </c>
      <c r="C469" t="s">
        <v>934</v>
      </c>
      <c r="D469">
        <v>0</v>
      </c>
      <c r="E469" s="8">
        <v>937.21</v>
      </c>
      <c r="F469">
        <v>2500</v>
      </c>
      <c r="G469">
        <v>2224.7600000000002</v>
      </c>
      <c r="H469">
        <v>2224.7600000000002</v>
      </c>
      <c r="M469" s="8"/>
    </row>
    <row r="470" spans="1:13" x14ac:dyDescent="0.2">
      <c r="A470">
        <v>952</v>
      </c>
      <c r="B470">
        <v>38500</v>
      </c>
      <c r="C470" t="s">
        <v>512</v>
      </c>
      <c r="D470">
        <v>7449.74</v>
      </c>
      <c r="E470" s="8">
        <v>48368.58</v>
      </c>
      <c r="F470">
        <v>59336</v>
      </c>
      <c r="G470">
        <v>49645.98</v>
      </c>
      <c r="H470">
        <v>49645.98</v>
      </c>
      <c r="M470" s="8"/>
    </row>
    <row r="471" spans="1:13" x14ac:dyDescent="0.2">
      <c r="A471">
        <v>952</v>
      </c>
      <c r="B471">
        <v>38520</v>
      </c>
      <c r="C471" t="s">
        <v>508</v>
      </c>
      <c r="D471">
        <v>0</v>
      </c>
      <c r="E471" s="8">
        <v>0</v>
      </c>
      <c r="F471">
        <v>0</v>
      </c>
      <c r="G471">
        <v>0</v>
      </c>
      <c r="H471">
        <v>0</v>
      </c>
      <c r="M471" s="8"/>
    </row>
    <row r="472" spans="1:13" x14ac:dyDescent="0.2">
      <c r="A472">
        <v>952</v>
      </c>
      <c r="B472">
        <v>38600</v>
      </c>
      <c r="C472" t="s">
        <v>519</v>
      </c>
      <c r="D472">
        <v>0</v>
      </c>
      <c r="E472" s="8">
        <v>10636</v>
      </c>
      <c r="F472">
        <v>10636</v>
      </c>
      <c r="G472">
        <v>10970</v>
      </c>
      <c r="H472">
        <v>10970</v>
      </c>
      <c r="M472" s="8"/>
    </row>
    <row r="473" spans="1:13" x14ac:dyDescent="0.2">
      <c r="A473">
        <v>952</v>
      </c>
      <c r="B473">
        <v>38610</v>
      </c>
      <c r="C473" t="s">
        <v>520</v>
      </c>
      <c r="D473">
        <v>0</v>
      </c>
      <c r="E473" s="8">
        <v>1191.76</v>
      </c>
      <c r="F473">
        <v>1500</v>
      </c>
      <c r="G473">
        <v>1316.98</v>
      </c>
      <c r="H473">
        <v>1316.98</v>
      </c>
      <c r="M473" s="8"/>
    </row>
    <row r="474" spans="1:13" x14ac:dyDescent="0.2">
      <c r="A474">
        <v>952</v>
      </c>
      <c r="B474">
        <v>38620</v>
      </c>
      <c r="C474" t="s">
        <v>516</v>
      </c>
      <c r="D474">
        <v>90.97</v>
      </c>
      <c r="E474" s="8">
        <v>499.64</v>
      </c>
      <c r="F474">
        <v>1000</v>
      </c>
      <c r="G474">
        <v>590.62</v>
      </c>
      <c r="H474">
        <v>590.62</v>
      </c>
      <c r="M474" s="8"/>
    </row>
    <row r="475" spans="1:13" x14ac:dyDescent="0.2">
      <c r="A475">
        <v>952</v>
      </c>
      <c r="B475">
        <v>38630</v>
      </c>
      <c r="C475" t="s">
        <v>517</v>
      </c>
      <c r="D475">
        <v>0</v>
      </c>
      <c r="E475" s="8">
        <v>122.48</v>
      </c>
      <c r="F475">
        <v>500</v>
      </c>
      <c r="G475">
        <v>313.02</v>
      </c>
      <c r="H475">
        <v>313.02</v>
      </c>
      <c r="M475" s="8"/>
    </row>
    <row r="476" spans="1:13" x14ac:dyDescent="0.2">
      <c r="A476">
        <v>952</v>
      </c>
      <c r="B476">
        <v>38640</v>
      </c>
      <c r="C476" t="s">
        <v>518</v>
      </c>
      <c r="D476">
        <v>171.77</v>
      </c>
      <c r="E476" s="8">
        <v>572.20000000000005</v>
      </c>
      <c r="F476">
        <v>1000</v>
      </c>
      <c r="G476">
        <v>288.48</v>
      </c>
      <c r="H476">
        <v>288.48</v>
      </c>
      <c r="M476" s="8"/>
    </row>
    <row r="477" spans="1:13" x14ac:dyDescent="0.2">
      <c r="A477">
        <v>952</v>
      </c>
      <c r="B477">
        <v>38700</v>
      </c>
      <c r="C477" t="s">
        <v>512</v>
      </c>
      <c r="D477">
        <v>0</v>
      </c>
      <c r="E477" s="8">
        <v>0</v>
      </c>
      <c r="F477">
        <v>0</v>
      </c>
      <c r="G477">
        <v>0</v>
      </c>
      <c r="H477">
        <v>0</v>
      </c>
      <c r="M477" s="8"/>
    </row>
    <row r="478" spans="1:13" x14ac:dyDescent="0.2">
      <c r="A478">
        <v>952</v>
      </c>
      <c r="B478">
        <v>38760</v>
      </c>
      <c r="C478" t="s">
        <v>1092</v>
      </c>
      <c r="D478">
        <v>0</v>
      </c>
      <c r="E478" s="8">
        <v>0</v>
      </c>
      <c r="F478">
        <v>0</v>
      </c>
      <c r="G478">
        <v>0</v>
      </c>
      <c r="H478">
        <v>0</v>
      </c>
    </row>
    <row r="479" spans="1:13" x14ac:dyDescent="0.2">
      <c r="A479">
        <v>952</v>
      </c>
      <c r="B479">
        <v>38790</v>
      </c>
      <c r="C479" t="s">
        <v>1079</v>
      </c>
      <c r="D479">
        <v>0</v>
      </c>
      <c r="E479" s="8">
        <v>0</v>
      </c>
      <c r="F479">
        <v>0</v>
      </c>
      <c r="G479">
        <v>0</v>
      </c>
      <c r="H479">
        <v>0</v>
      </c>
    </row>
    <row r="480" spans="1:13" x14ac:dyDescent="0.2">
      <c r="A480">
        <v>952</v>
      </c>
      <c r="B480">
        <v>38810</v>
      </c>
      <c r="C480" t="s">
        <v>1093</v>
      </c>
      <c r="D480">
        <v>0</v>
      </c>
      <c r="E480" s="8">
        <v>0</v>
      </c>
      <c r="F480">
        <v>0</v>
      </c>
      <c r="G480">
        <v>0</v>
      </c>
      <c r="H480">
        <v>0</v>
      </c>
    </row>
    <row r="481" spans="1:8" x14ac:dyDescent="0.2">
      <c r="A481">
        <v>952</v>
      </c>
      <c r="B481">
        <v>38815</v>
      </c>
      <c r="C481" t="s">
        <v>1094</v>
      </c>
      <c r="D481">
        <v>0</v>
      </c>
      <c r="E481" s="8">
        <v>0</v>
      </c>
      <c r="F481">
        <v>0</v>
      </c>
      <c r="G481">
        <v>0</v>
      </c>
      <c r="H481">
        <v>0</v>
      </c>
    </row>
    <row r="482" spans="1:8" x14ac:dyDescent="0.2">
      <c r="A482">
        <v>952</v>
      </c>
      <c r="B482">
        <v>38820</v>
      </c>
      <c r="C482" t="s">
        <v>539</v>
      </c>
      <c r="D482">
        <v>0</v>
      </c>
      <c r="E482" s="8">
        <v>0</v>
      </c>
      <c r="F482">
        <v>0</v>
      </c>
      <c r="G482">
        <v>0</v>
      </c>
      <c r="H482">
        <v>0</v>
      </c>
    </row>
    <row r="483" spans="1:8" x14ac:dyDescent="0.2">
      <c r="A483">
        <v>952</v>
      </c>
      <c r="B483">
        <v>38830</v>
      </c>
      <c r="C483" t="s">
        <v>1080</v>
      </c>
      <c r="D483">
        <v>0</v>
      </c>
      <c r="E483" s="8">
        <v>0</v>
      </c>
      <c r="F483">
        <v>0</v>
      </c>
      <c r="G483">
        <v>0</v>
      </c>
      <c r="H483">
        <v>0</v>
      </c>
    </row>
    <row r="484" spans="1:8" x14ac:dyDescent="0.2">
      <c r="A484">
        <v>952</v>
      </c>
      <c r="B484">
        <v>38922</v>
      </c>
      <c r="C484" t="s">
        <v>1095</v>
      </c>
      <c r="D484">
        <v>0</v>
      </c>
      <c r="E484" s="8">
        <v>1396.8</v>
      </c>
      <c r="F484">
        <v>0</v>
      </c>
      <c r="G484">
        <v>915.92</v>
      </c>
      <c r="H484">
        <v>915.92</v>
      </c>
    </row>
    <row r="485" spans="1:8" x14ac:dyDescent="0.2">
      <c r="A485">
        <v>952</v>
      </c>
      <c r="B485">
        <v>38928</v>
      </c>
      <c r="C485" t="s">
        <v>1096</v>
      </c>
      <c r="D485">
        <v>0</v>
      </c>
      <c r="E485" s="8">
        <v>0</v>
      </c>
      <c r="F485">
        <v>4000</v>
      </c>
      <c r="G485">
        <v>0</v>
      </c>
      <c r="H485">
        <v>0</v>
      </c>
    </row>
    <row r="486" spans="1:8" x14ac:dyDescent="0.2">
      <c r="A486">
        <v>952</v>
      </c>
      <c r="B486">
        <v>38929</v>
      </c>
      <c r="C486" t="s">
        <v>1096</v>
      </c>
      <c r="D486">
        <v>1300.83</v>
      </c>
      <c r="E486" s="8">
        <v>8397.67</v>
      </c>
      <c r="F486">
        <v>53837</v>
      </c>
      <c r="G486">
        <v>11448.44</v>
      </c>
      <c r="H486">
        <v>11448.44</v>
      </c>
    </row>
    <row r="487" spans="1:8" x14ac:dyDescent="0.2">
      <c r="A487">
        <v>952</v>
      </c>
      <c r="B487">
        <v>38930</v>
      </c>
      <c r="C487" t="s">
        <v>1097</v>
      </c>
      <c r="D487">
        <v>24113.78</v>
      </c>
      <c r="E487" s="8">
        <v>167917.95</v>
      </c>
      <c r="F487">
        <v>234468</v>
      </c>
      <c r="G487">
        <v>151413.03</v>
      </c>
      <c r="H487">
        <v>151413.03</v>
      </c>
    </row>
    <row r="488" spans="1:8" x14ac:dyDescent="0.2">
      <c r="A488">
        <v>952</v>
      </c>
      <c r="B488">
        <v>38931</v>
      </c>
      <c r="C488" t="s">
        <v>1098</v>
      </c>
      <c r="D488">
        <v>0</v>
      </c>
      <c r="E488" s="8">
        <v>1113.04</v>
      </c>
      <c r="F488">
        <v>1280</v>
      </c>
      <c r="G488">
        <v>1815.65</v>
      </c>
      <c r="H488">
        <v>1815.65</v>
      </c>
    </row>
    <row r="489" spans="1:8" x14ac:dyDescent="0.2">
      <c r="A489">
        <v>952</v>
      </c>
      <c r="B489">
        <v>38932</v>
      </c>
      <c r="C489" t="s">
        <v>1088</v>
      </c>
      <c r="D489">
        <v>0</v>
      </c>
      <c r="E489" s="8">
        <v>1265.3499999999999</v>
      </c>
      <c r="F489">
        <v>3000</v>
      </c>
      <c r="G489">
        <v>1366.79</v>
      </c>
      <c r="H489">
        <v>1366.79</v>
      </c>
    </row>
    <row r="490" spans="1:8" x14ac:dyDescent="0.2">
      <c r="A490">
        <v>952</v>
      </c>
      <c r="B490">
        <v>38933</v>
      </c>
      <c r="C490" t="s">
        <v>1099</v>
      </c>
      <c r="D490">
        <v>2311.9299999999998</v>
      </c>
      <c r="E490" s="8">
        <v>12421.77</v>
      </c>
      <c r="F490">
        <v>12000</v>
      </c>
      <c r="G490">
        <v>8945.4</v>
      </c>
      <c r="H490">
        <v>8945.4</v>
      </c>
    </row>
    <row r="491" spans="1:8" x14ac:dyDescent="0.2">
      <c r="A491">
        <v>952</v>
      </c>
      <c r="B491">
        <v>38934</v>
      </c>
      <c r="C491" t="s">
        <v>491</v>
      </c>
      <c r="D491">
        <v>0</v>
      </c>
      <c r="E491" s="8">
        <v>86.1</v>
      </c>
      <c r="F491">
        <v>1500</v>
      </c>
      <c r="G491">
        <v>1348.75</v>
      </c>
      <c r="H491">
        <v>1348.75</v>
      </c>
    </row>
    <row r="492" spans="1:8" x14ac:dyDescent="0.2">
      <c r="A492">
        <v>952</v>
      </c>
      <c r="B492">
        <v>38935</v>
      </c>
      <c r="C492" t="s">
        <v>556</v>
      </c>
      <c r="D492">
        <v>188.09</v>
      </c>
      <c r="E492" s="8">
        <v>2329.33</v>
      </c>
      <c r="F492">
        <v>2500</v>
      </c>
      <c r="G492">
        <v>2239.9699999999998</v>
      </c>
      <c r="H492">
        <v>2239.9699999999998</v>
      </c>
    </row>
    <row r="493" spans="1:8" x14ac:dyDescent="0.2">
      <c r="A493">
        <v>952</v>
      </c>
      <c r="B493">
        <v>38936</v>
      </c>
      <c r="C493" t="s">
        <v>499</v>
      </c>
      <c r="D493">
        <v>32.78</v>
      </c>
      <c r="E493" s="8">
        <v>595.45000000000005</v>
      </c>
      <c r="F493">
        <v>1000</v>
      </c>
      <c r="G493">
        <v>224.84</v>
      </c>
      <c r="H493">
        <v>224.84</v>
      </c>
    </row>
    <row r="494" spans="1:8" x14ac:dyDescent="0.2">
      <c r="A494">
        <v>952</v>
      </c>
      <c r="B494">
        <v>38937</v>
      </c>
      <c r="C494" t="s">
        <v>498</v>
      </c>
      <c r="D494">
        <v>205.96</v>
      </c>
      <c r="E494" s="8">
        <v>938.61</v>
      </c>
      <c r="F494">
        <v>1000</v>
      </c>
      <c r="G494">
        <v>330.04</v>
      </c>
      <c r="H494">
        <v>330.04</v>
      </c>
    </row>
    <row r="495" spans="1:8" x14ac:dyDescent="0.2">
      <c r="A495">
        <v>952</v>
      </c>
      <c r="B495">
        <v>38938</v>
      </c>
      <c r="C495" t="s">
        <v>626</v>
      </c>
      <c r="D495">
        <v>342.45</v>
      </c>
      <c r="E495" s="8">
        <v>1130.5</v>
      </c>
      <c r="F495">
        <v>3000</v>
      </c>
      <c r="G495">
        <v>2911.68</v>
      </c>
      <c r="H495">
        <v>2911.68</v>
      </c>
    </row>
    <row r="496" spans="1:8" x14ac:dyDescent="0.2">
      <c r="A496">
        <v>952</v>
      </c>
      <c r="B496">
        <v>38939</v>
      </c>
      <c r="C496" t="s">
        <v>1100</v>
      </c>
      <c r="D496">
        <v>1154.0999999999999</v>
      </c>
      <c r="E496" s="8">
        <v>5774.05</v>
      </c>
      <c r="F496">
        <v>4500</v>
      </c>
      <c r="G496">
        <v>3050.68</v>
      </c>
      <c r="H496">
        <v>3050.68</v>
      </c>
    </row>
    <row r="497" spans="1:8" x14ac:dyDescent="0.2">
      <c r="A497">
        <v>952</v>
      </c>
      <c r="B497">
        <v>38940</v>
      </c>
      <c r="C497" t="s">
        <v>1101</v>
      </c>
      <c r="D497">
        <v>3175.14</v>
      </c>
      <c r="E497" s="8">
        <v>26516.78</v>
      </c>
      <c r="F497">
        <v>32431</v>
      </c>
      <c r="G497">
        <v>25550.34</v>
      </c>
      <c r="H497">
        <v>25550.34</v>
      </c>
    </row>
    <row r="498" spans="1:8" x14ac:dyDescent="0.2">
      <c r="A498">
        <v>952</v>
      </c>
      <c r="B498">
        <v>38945</v>
      </c>
      <c r="C498" t="s">
        <v>1102</v>
      </c>
      <c r="D498">
        <v>0</v>
      </c>
      <c r="E498" s="8">
        <v>149.57</v>
      </c>
      <c r="F498">
        <v>1000</v>
      </c>
      <c r="G498">
        <v>0</v>
      </c>
      <c r="H498">
        <v>0</v>
      </c>
    </row>
    <row r="499" spans="1:8" x14ac:dyDescent="0.2">
      <c r="A499">
        <v>952</v>
      </c>
      <c r="B499">
        <v>38946</v>
      </c>
      <c r="C499" t="s">
        <v>1103</v>
      </c>
      <c r="D499">
        <v>0</v>
      </c>
      <c r="E499" s="8">
        <v>0</v>
      </c>
      <c r="F499">
        <v>0</v>
      </c>
      <c r="G499">
        <v>0</v>
      </c>
      <c r="H499">
        <v>0</v>
      </c>
    </row>
    <row r="500" spans="1:8" x14ac:dyDescent="0.2">
      <c r="A500">
        <v>952</v>
      </c>
      <c r="B500">
        <v>38950</v>
      </c>
      <c r="C500" t="s">
        <v>820</v>
      </c>
      <c r="D500">
        <v>0</v>
      </c>
      <c r="E500" s="8">
        <v>422.73</v>
      </c>
      <c r="F500">
        <v>0</v>
      </c>
      <c r="G500">
        <v>7.83</v>
      </c>
      <c r="H500">
        <v>7.83</v>
      </c>
    </row>
    <row r="501" spans="1:8" x14ac:dyDescent="0.2">
      <c r="A501">
        <v>952</v>
      </c>
      <c r="B501">
        <v>38951</v>
      </c>
      <c r="C501" t="s">
        <v>1104</v>
      </c>
      <c r="D501">
        <v>0</v>
      </c>
      <c r="E501" s="8">
        <v>0</v>
      </c>
      <c r="F501">
        <v>3200</v>
      </c>
      <c r="G501">
        <v>597.61</v>
      </c>
      <c r="H501">
        <v>597.61</v>
      </c>
    </row>
    <row r="502" spans="1:8" x14ac:dyDescent="0.2">
      <c r="A502">
        <v>952</v>
      </c>
      <c r="B502">
        <v>38952</v>
      </c>
      <c r="C502" t="s">
        <v>1105</v>
      </c>
      <c r="D502">
        <v>6692.57</v>
      </c>
      <c r="E502" s="8">
        <v>20693.02</v>
      </c>
      <c r="F502">
        <v>40000</v>
      </c>
      <c r="G502">
        <v>30327.59</v>
      </c>
      <c r="H502">
        <v>30327.59</v>
      </c>
    </row>
    <row r="503" spans="1:8" x14ac:dyDescent="0.2">
      <c r="A503">
        <v>952</v>
      </c>
      <c r="B503">
        <v>38953</v>
      </c>
      <c r="C503" t="s">
        <v>1106</v>
      </c>
      <c r="D503">
        <v>0</v>
      </c>
      <c r="E503" s="8">
        <v>0</v>
      </c>
      <c r="F503">
        <v>0</v>
      </c>
      <c r="G503">
        <v>0</v>
      </c>
      <c r="H503">
        <v>0</v>
      </c>
    </row>
    <row r="504" spans="1:8" x14ac:dyDescent="0.2">
      <c r="A504">
        <v>952</v>
      </c>
      <c r="B504">
        <v>38954</v>
      </c>
      <c r="C504" t="s">
        <v>1107</v>
      </c>
      <c r="D504">
        <v>97.13</v>
      </c>
      <c r="E504" s="8">
        <v>11574.38</v>
      </c>
      <c r="F504">
        <v>16000</v>
      </c>
      <c r="G504">
        <v>11793.96</v>
      </c>
      <c r="H504">
        <v>11793.96</v>
      </c>
    </row>
    <row r="505" spans="1:8" x14ac:dyDescent="0.2">
      <c r="A505">
        <v>952</v>
      </c>
      <c r="B505">
        <v>38955</v>
      </c>
      <c r="C505" t="s">
        <v>1108</v>
      </c>
      <c r="D505">
        <v>0</v>
      </c>
      <c r="E505" s="8">
        <v>0</v>
      </c>
      <c r="F505">
        <v>0</v>
      </c>
      <c r="G505">
        <v>0</v>
      </c>
      <c r="H505">
        <v>0</v>
      </c>
    </row>
    <row r="506" spans="1:8" x14ac:dyDescent="0.2">
      <c r="A506">
        <v>952</v>
      </c>
      <c r="B506">
        <v>38956</v>
      </c>
      <c r="C506" t="s">
        <v>1109</v>
      </c>
      <c r="D506">
        <v>0</v>
      </c>
      <c r="E506" s="8">
        <v>0</v>
      </c>
      <c r="F506">
        <v>0</v>
      </c>
      <c r="G506">
        <v>98.83</v>
      </c>
      <c r="H506">
        <v>98.83</v>
      </c>
    </row>
    <row r="507" spans="1:8" x14ac:dyDescent="0.2">
      <c r="A507">
        <v>952</v>
      </c>
      <c r="B507">
        <v>38957</v>
      </c>
      <c r="C507" t="s">
        <v>1110</v>
      </c>
      <c r="D507">
        <v>0</v>
      </c>
      <c r="E507" s="8">
        <v>79.27</v>
      </c>
      <c r="F507">
        <v>0</v>
      </c>
      <c r="G507">
        <v>667.52</v>
      </c>
      <c r="H507">
        <v>667.52</v>
      </c>
    </row>
    <row r="508" spans="1:8" x14ac:dyDescent="0.2">
      <c r="A508">
        <v>952</v>
      </c>
      <c r="B508">
        <v>38958</v>
      </c>
      <c r="C508" t="s">
        <v>1111</v>
      </c>
      <c r="D508">
        <v>408.74</v>
      </c>
      <c r="E508" s="8">
        <v>33341.17</v>
      </c>
      <c r="F508">
        <v>16000</v>
      </c>
      <c r="G508">
        <v>16336.25</v>
      </c>
      <c r="H508">
        <v>16336.25</v>
      </c>
    </row>
    <row r="509" spans="1:8" x14ac:dyDescent="0.2">
      <c r="A509">
        <v>952</v>
      </c>
      <c r="B509">
        <v>38959</v>
      </c>
      <c r="C509" t="s">
        <v>1112</v>
      </c>
      <c r="D509">
        <v>0</v>
      </c>
      <c r="E509" s="8">
        <v>5378.56</v>
      </c>
      <c r="F509">
        <v>10000</v>
      </c>
      <c r="G509">
        <v>30805.87</v>
      </c>
      <c r="H509">
        <v>30805.87</v>
      </c>
    </row>
    <row r="510" spans="1:8" x14ac:dyDescent="0.2">
      <c r="A510">
        <v>952</v>
      </c>
      <c r="B510">
        <v>38966</v>
      </c>
      <c r="C510" t="s">
        <v>1113</v>
      </c>
      <c r="D510">
        <v>34.340000000000003</v>
      </c>
      <c r="E510" s="8">
        <v>6792.88</v>
      </c>
      <c r="F510">
        <v>8000</v>
      </c>
      <c r="G510">
        <v>7877.33</v>
      </c>
      <c r="H510">
        <v>7877.33</v>
      </c>
    </row>
    <row r="511" spans="1:8" x14ac:dyDescent="0.2">
      <c r="A511">
        <v>952</v>
      </c>
      <c r="B511">
        <v>38967</v>
      </c>
      <c r="C511" t="s">
        <v>1114</v>
      </c>
      <c r="D511">
        <v>1343.77</v>
      </c>
      <c r="E511" s="8">
        <v>2662.69</v>
      </c>
      <c r="F511">
        <v>8000</v>
      </c>
      <c r="G511">
        <v>18289.400000000001</v>
      </c>
      <c r="H511">
        <v>18289.400000000001</v>
      </c>
    </row>
    <row r="512" spans="1:8" x14ac:dyDescent="0.2">
      <c r="A512">
        <v>952</v>
      </c>
      <c r="B512">
        <v>38968</v>
      </c>
      <c r="C512" t="s">
        <v>1115</v>
      </c>
      <c r="D512">
        <v>0</v>
      </c>
      <c r="E512" s="8">
        <v>0</v>
      </c>
      <c r="F512">
        <v>0</v>
      </c>
      <c r="G512">
        <v>0</v>
      </c>
      <c r="H512">
        <v>0</v>
      </c>
    </row>
    <row r="513" spans="1:8" x14ac:dyDescent="0.2">
      <c r="A513">
        <v>952</v>
      </c>
      <c r="B513">
        <v>38969</v>
      </c>
      <c r="C513" t="s">
        <v>1116</v>
      </c>
      <c r="D513">
        <v>0</v>
      </c>
      <c r="E513" s="8">
        <v>0</v>
      </c>
      <c r="F513">
        <v>0</v>
      </c>
      <c r="G513">
        <v>0</v>
      </c>
      <c r="H513">
        <v>0</v>
      </c>
    </row>
    <row r="514" spans="1:8" x14ac:dyDescent="0.2">
      <c r="A514">
        <v>952</v>
      </c>
      <c r="B514">
        <v>38972</v>
      </c>
      <c r="C514" t="s">
        <v>1117</v>
      </c>
      <c r="D514">
        <v>0</v>
      </c>
      <c r="E514" s="8">
        <v>0</v>
      </c>
      <c r="F514">
        <v>0</v>
      </c>
      <c r="G514">
        <v>0</v>
      </c>
      <c r="H514">
        <v>0</v>
      </c>
    </row>
    <row r="515" spans="1:8" x14ac:dyDescent="0.2">
      <c r="A515">
        <v>952</v>
      </c>
      <c r="B515">
        <v>38974</v>
      </c>
      <c r="C515" t="s">
        <v>1118</v>
      </c>
      <c r="D515">
        <v>0</v>
      </c>
      <c r="E515" s="8">
        <v>6384.05</v>
      </c>
      <c r="F515">
        <v>8000</v>
      </c>
      <c r="G515">
        <v>7403.71</v>
      </c>
      <c r="H515">
        <v>7403.71</v>
      </c>
    </row>
    <row r="516" spans="1:8" x14ac:dyDescent="0.2">
      <c r="A516">
        <v>952</v>
      </c>
      <c r="B516">
        <v>38975</v>
      </c>
      <c r="C516" t="s">
        <v>84</v>
      </c>
      <c r="D516">
        <v>0</v>
      </c>
      <c r="E516" s="8">
        <v>0</v>
      </c>
      <c r="F516">
        <v>0</v>
      </c>
      <c r="G516">
        <v>0</v>
      </c>
      <c r="H516">
        <v>0</v>
      </c>
    </row>
    <row r="517" spans="1:8" x14ac:dyDescent="0.2">
      <c r="A517">
        <v>952</v>
      </c>
      <c r="B517">
        <v>38976</v>
      </c>
      <c r="C517" t="s">
        <v>1119</v>
      </c>
      <c r="D517">
        <v>0</v>
      </c>
      <c r="E517" s="8">
        <v>0</v>
      </c>
      <c r="F517">
        <v>0</v>
      </c>
      <c r="G517">
        <v>0</v>
      </c>
      <c r="H517">
        <v>0</v>
      </c>
    </row>
    <row r="518" spans="1:8" x14ac:dyDescent="0.2">
      <c r="A518">
        <v>952</v>
      </c>
      <c r="B518">
        <v>38977</v>
      </c>
      <c r="C518" t="s">
        <v>1120</v>
      </c>
      <c r="D518">
        <v>0</v>
      </c>
      <c r="E518" s="8">
        <v>0</v>
      </c>
      <c r="F518">
        <v>0</v>
      </c>
      <c r="G518">
        <v>0</v>
      </c>
      <c r="H518">
        <v>0</v>
      </c>
    </row>
    <row r="519" spans="1:8" x14ac:dyDescent="0.2">
      <c r="A519">
        <v>952</v>
      </c>
      <c r="B519">
        <v>38978</v>
      </c>
      <c r="C519" t="s">
        <v>190</v>
      </c>
      <c r="D519">
        <v>0</v>
      </c>
      <c r="E519" s="8">
        <v>0</v>
      </c>
      <c r="F519">
        <v>0</v>
      </c>
      <c r="G519">
        <v>0</v>
      </c>
      <c r="H519">
        <v>0</v>
      </c>
    </row>
    <row r="520" spans="1:8" x14ac:dyDescent="0.2">
      <c r="A520">
        <v>952</v>
      </c>
      <c r="B520">
        <v>38979</v>
      </c>
      <c r="C520" t="s">
        <v>1121</v>
      </c>
      <c r="D520">
        <v>83.83</v>
      </c>
      <c r="E520" s="8">
        <v>83.83</v>
      </c>
      <c r="F520">
        <v>0</v>
      </c>
      <c r="G520">
        <v>67.48</v>
      </c>
      <c r="H520">
        <v>67.48</v>
      </c>
    </row>
    <row r="521" spans="1:8" x14ac:dyDescent="0.2">
      <c r="A521">
        <v>952</v>
      </c>
      <c r="B521">
        <v>38980</v>
      </c>
      <c r="C521" t="s">
        <v>191</v>
      </c>
      <c r="D521">
        <v>0</v>
      </c>
      <c r="E521" s="8">
        <v>0</v>
      </c>
      <c r="F521">
        <v>15000</v>
      </c>
      <c r="G521">
        <v>0</v>
      </c>
      <c r="H521">
        <v>0</v>
      </c>
    </row>
    <row r="522" spans="1:8" x14ac:dyDescent="0.2">
      <c r="A522">
        <v>952</v>
      </c>
      <c r="B522">
        <v>38987</v>
      </c>
      <c r="C522" t="s">
        <v>1122</v>
      </c>
      <c r="D522">
        <v>11.3</v>
      </c>
      <c r="E522" s="8">
        <v>11.3</v>
      </c>
      <c r="F522">
        <v>0</v>
      </c>
      <c r="G522">
        <v>0</v>
      </c>
      <c r="H522">
        <v>0</v>
      </c>
    </row>
    <row r="523" spans="1:8" x14ac:dyDescent="0.2">
      <c r="A523">
        <v>952</v>
      </c>
      <c r="B523">
        <v>38988</v>
      </c>
      <c r="C523" t="s">
        <v>1123</v>
      </c>
      <c r="D523">
        <v>0</v>
      </c>
      <c r="E523" s="8">
        <v>0</v>
      </c>
      <c r="F523">
        <v>0</v>
      </c>
      <c r="G523">
        <v>0</v>
      </c>
      <c r="H523">
        <v>0</v>
      </c>
    </row>
    <row r="524" spans="1:8" x14ac:dyDescent="0.2">
      <c r="A524">
        <v>952</v>
      </c>
      <c r="B524">
        <v>38989</v>
      </c>
      <c r="C524" t="s">
        <v>1124</v>
      </c>
      <c r="D524">
        <v>2562.0100000000002</v>
      </c>
      <c r="E524" s="8">
        <v>19165.39</v>
      </c>
      <c r="F524">
        <v>32000</v>
      </c>
      <c r="G524">
        <v>23292.6</v>
      </c>
      <c r="H524">
        <v>23292.6</v>
      </c>
    </row>
    <row r="525" spans="1:8" x14ac:dyDescent="0.2">
      <c r="A525">
        <v>952</v>
      </c>
      <c r="B525">
        <v>38990</v>
      </c>
      <c r="C525" t="s">
        <v>1125</v>
      </c>
      <c r="D525">
        <v>0</v>
      </c>
      <c r="E525" s="8">
        <v>17318.509999999998</v>
      </c>
      <c r="F525">
        <v>32000</v>
      </c>
      <c r="G525">
        <v>18562.75</v>
      </c>
      <c r="H525">
        <v>18562.75</v>
      </c>
    </row>
    <row r="526" spans="1:8" x14ac:dyDescent="0.2">
      <c r="A526">
        <v>952</v>
      </c>
      <c r="B526">
        <v>38992</v>
      </c>
      <c r="C526" t="s">
        <v>1126</v>
      </c>
      <c r="D526">
        <v>31.03</v>
      </c>
      <c r="E526" s="8">
        <v>9747.1</v>
      </c>
      <c r="F526">
        <v>20000</v>
      </c>
      <c r="G526">
        <v>7747.74</v>
      </c>
      <c r="H526">
        <v>7747.74</v>
      </c>
    </row>
    <row r="527" spans="1:8" s="8" customFormat="1" x14ac:dyDescent="0.2">
      <c r="A527" s="8">
        <v>952</v>
      </c>
      <c r="B527" s="8">
        <v>38993</v>
      </c>
      <c r="C527" s="8" t="s">
        <v>1127</v>
      </c>
      <c r="D527" s="8">
        <v>0</v>
      </c>
      <c r="E527" s="8">
        <v>314.88</v>
      </c>
      <c r="F527" s="8">
        <v>0</v>
      </c>
      <c r="G527" s="8">
        <v>0</v>
      </c>
      <c r="H527" s="8">
        <v>0</v>
      </c>
    </row>
    <row r="528" spans="1:8" x14ac:dyDescent="0.2">
      <c r="A528">
        <v>952</v>
      </c>
      <c r="B528">
        <v>38995</v>
      </c>
      <c r="C528" t="s">
        <v>1128</v>
      </c>
      <c r="D528">
        <v>0</v>
      </c>
      <c r="E528" s="8">
        <v>0</v>
      </c>
      <c r="F528">
        <v>0</v>
      </c>
      <c r="G528">
        <v>0</v>
      </c>
      <c r="H528">
        <v>0</v>
      </c>
    </row>
    <row r="529" spans="1:8" x14ac:dyDescent="0.2">
      <c r="A529">
        <v>952</v>
      </c>
      <c r="B529">
        <v>38997</v>
      </c>
      <c r="C529" t="s">
        <v>1129</v>
      </c>
      <c r="D529">
        <v>676.41</v>
      </c>
      <c r="E529" s="8">
        <v>3915.33</v>
      </c>
      <c r="F529">
        <v>7000</v>
      </c>
      <c r="G529">
        <v>4885.9799999999996</v>
      </c>
      <c r="H529">
        <v>4885.9799999999996</v>
      </c>
    </row>
    <row r="530" spans="1:8" x14ac:dyDescent="0.2">
      <c r="A530">
        <v>952</v>
      </c>
      <c r="B530">
        <v>38998</v>
      </c>
      <c r="C530" t="s">
        <v>1130</v>
      </c>
      <c r="D530">
        <v>0</v>
      </c>
      <c r="E530" s="8">
        <v>0</v>
      </c>
      <c r="F530">
        <v>0</v>
      </c>
      <c r="G530">
        <v>0</v>
      </c>
      <c r="H530">
        <v>0</v>
      </c>
    </row>
    <row r="531" spans="1:8" x14ac:dyDescent="0.2">
      <c r="A531">
        <v>952</v>
      </c>
      <c r="B531">
        <v>39001</v>
      </c>
      <c r="C531" t="s">
        <v>499</v>
      </c>
      <c r="D531">
        <v>29.57</v>
      </c>
      <c r="E531" s="8">
        <v>445.44</v>
      </c>
      <c r="F531">
        <v>500</v>
      </c>
      <c r="G531">
        <v>436.77</v>
      </c>
      <c r="H531">
        <v>436.77</v>
      </c>
    </row>
    <row r="532" spans="1:8" x14ac:dyDescent="0.2">
      <c r="A532">
        <v>952</v>
      </c>
      <c r="B532">
        <v>39002</v>
      </c>
      <c r="C532" t="s">
        <v>1131</v>
      </c>
      <c r="D532">
        <v>1042.8800000000001</v>
      </c>
      <c r="E532" s="8">
        <v>10142.74</v>
      </c>
      <c r="F532">
        <v>11200</v>
      </c>
      <c r="G532">
        <v>10267.15</v>
      </c>
      <c r="H532">
        <v>10267.15</v>
      </c>
    </row>
    <row r="533" spans="1:8" x14ac:dyDescent="0.2">
      <c r="A533">
        <v>952</v>
      </c>
      <c r="B533">
        <v>39003</v>
      </c>
      <c r="C533" t="s">
        <v>520</v>
      </c>
      <c r="D533">
        <v>0</v>
      </c>
      <c r="E533" s="8">
        <v>0</v>
      </c>
      <c r="F533">
        <v>0</v>
      </c>
      <c r="G533">
        <v>0</v>
      </c>
      <c r="H533">
        <v>0</v>
      </c>
    </row>
    <row r="534" spans="1:8" x14ac:dyDescent="0.2">
      <c r="A534">
        <v>952</v>
      </c>
      <c r="B534">
        <v>39004</v>
      </c>
      <c r="C534" t="s">
        <v>569</v>
      </c>
      <c r="D534">
        <v>0</v>
      </c>
      <c r="E534" s="8">
        <v>280.32</v>
      </c>
      <c r="F534">
        <v>0</v>
      </c>
      <c r="G534">
        <v>34.78</v>
      </c>
      <c r="H534">
        <v>34.78</v>
      </c>
    </row>
    <row r="535" spans="1:8" x14ac:dyDescent="0.2">
      <c r="A535">
        <v>952</v>
      </c>
      <c r="B535">
        <v>39005</v>
      </c>
      <c r="C535" t="s">
        <v>623</v>
      </c>
      <c r="D535">
        <v>130.43</v>
      </c>
      <c r="E535" s="8">
        <v>2113.65</v>
      </c>
      <c r="F535">
        <v>3500</v>
      </c>
      <c r="G535">
        <v>1047.24</v>
      </c>
      <c r="H535">
        <v>1047.24</v>
      </c>
    </row>
    <row r="536" spans="1:8" x14ac:dyDescent="0.2">
      <c r="A536">
        <v>952</v>
      </c>
      <c r="B536">
        <v>39006</v>
      </c>
      <c r="C536" t="s">
        <v>571</v>
      </c>
      <c r="D536">
        <v>0</v>
      </c>
      <c r="E536" s="8">
        <v>544.36</v>
      </c>
      <c r="F536">
        <v>700</v>
      </c>
      <c r="G536">
        <v>467.67</v>
      </c>
      <c r="H536">
        <v>467.67</v>
      </c>
    </row>
    <row r="537" spans="1:8" x14ac:dyDescent="0.2">
      <c r="A537">
        <v>952</v>
      </c>
      <c r="B537">
        <v>39007</v>
      </c>
      <c r="C537" t="s">
        <v>491</v>
      </c>
      <c r="D537">
        <v>124.51</v>
      </c>
      <c r="E537" s="8">
        <v>934.86</v>
      </c>
      <c r="F537">
        <v>4500</v>
      </c>
      <c r="G537">
        <v>5013.0600000000004</v>
      </c>
      <c r="H537">
        <v>5013.0600000000004</v>
      </c>
    </row>
    <row r="538" spans="1:8" x14ac:dyDescent="0.2">
      <c r="A538">
        <v>952</v>
      </c>
      <c r="B538">
        <v>39008</v>
      </c>
      <c r="C538" t="s">
        <v>544</v>
      </c>
      <c r="D538">
        <v>553.74</v>
      </c>
      <c r="E538" s="8">
        <v>2068.8200000000002</v>
      </c>
      <c r="F538">
        <v>3000</v>
      </c>
      <c r="G538">
        <v>2481</v>
      </c>
      <c r="H538">
        <v>2481</v>
      </c>
    </row>
    <row r="539" spans="1:8" x14ac:dyDescent="0.2">
      <c r="A539">
        <v>952</v>
      </c>
      <c r="B539">
        <v>39009</v>
      </c>
      <c r="C539" t="s">
        <v>828</v>
      </c>
      <c r="D539">
        <v>297.52999999999997</v>
      </c>
      <c r="E539" s="8">
        <v>2820.45</v>
      </c>
      <c r="F539">
        <v>3000</v>
      </c>
      <c r="G539">
        <v>3683.31</v>
      </c>
      <c r="H539">
        <v>3683.31</v>
      </c>
    </row>
    <row r="540" spans="1:8" x14ac:dyDescent="0.2">
      <c r="A540">
        <v>952</v>
      </c>
      <c r="B540">
        <v>39010</v>
      </c>
      <c r="C540" t="s">
        <v>557</v>
      </c>
      <c r="D540">
        <v>0</v>
      </c>
      <c r="E540" s="8">
        <v>80.97</v>
      </c>
      <c r="F540">
        <v>200</v>
      </c>
      <c r="G540">
        <v>150.87</v>
      </c>
      <c r="H540">
        <v>150.87</v>
      </c>
    </row>
    <row r="541" spans="1:8" x14ac:dyDescent="0.2">
      <c r="A541">
        <v>952</v>
      </c>
      <c r="B541">
        <v>39011</v>
      </c>
      <c r="C541" t="s">
        <v>572</v>
      </c>
      <c r="D541">
        <v>0</v>
      </c>
      <c r="E541" s="8">
        <v>0</v>
      </c>
      <c r="F541">
        <v>200</v>
      </c>
      <c r="G541">
        <v>0</v>
      </c>
      <c r="H541">
        <v>0</v>
      </c>
    </row>
    <row r="542" spans="1:8" x14ac:dyDescent="0.2">
      <c r="A542">
        <v>952</v>
      </c>
      <c r="B542">
        <v>39012</v>
      </c>
      <c r="C542" t="s">
        <v>1132</v>
      </c>
      <c r="D542">
        <v>0</v>
      </c>
      <c r="E542" s="8">
        <v>0</v>
      </c>
      <c r="F542">
        <v>0</v>
      </c>
      <c r="G542">
        <v>0</v>
      </c>
      <c r="H542">
        <v>0</v>
      </c>
    </row>
    <row r="543" spans="1:8" x14ac:dyDescent="0.2">
      <c r="A543">
        <v>952</v>
      </c>
      <c r="B543">
        <v>39013</v>
      </c>
      <c r="C543" t="s">
        <v>626</v>
      </c>
      <c r="D543">
        <v>65.819999999999993</v>
      </c>
      <c r="E543" s="8">
        <v>700.31</v>
      </c>
      <c r="F543">
        <v>1500</v>
      </c>
      <c r="G543">
        <v>1670.97</v>
      </c>
      <c r="H543">
        <v>1670.97</v>
      </c>
    </row>
    <row r="544" spans="1:8" x14ac:dyDescent="0.2">
      <c r="A544">
        <v>952</v>
      </c>
      <c r="B544">
        <v>39014</v>
      </c>
      <c r="C544" t="s">
        <v>1133</v>
      </c>
      <c r="D544">
        <v>147.13</v>
      </c>
      <c r="E544" s="8">
        <v>992.25</v>
      </c>
      <c r="F544">
        <v>2000</v>
      </c>
      <c r="G544">
        <v>716.34</v>
      </c>
      <c r="H544">
        <v>716.34</v>
      </c>
    </row>
    <row r="545" spans="1:8" x14ac:dyDescent="0.2">
      <c r="A545">
        <v>952</v>
      </c>
      <c r="B545">
        <v>39020</v>
      </c>
      <c r="C545" t="s">
        <v>1199</v>
      </c>
      <c r="D545">
        <v>0</v>
      </c>
      <c r="E545" s="8">
        <v>0</v>
      </c>
      <c r="F545">
        <v>200</v>
      </c>
      <c r="G545">
        <v>0</v>
      </c>
      <c r="H545">
        <v>0</v>
      </c>
    </row>
    <row r="546" spans="1:8" x14ac:dyDescent="0.2">
      <c r="A546">
        <v>952</v>
      </c>
      <c r="B546">
        <v>39030</v>
      </c>
      <c r="C546" t="s">
        <v>1134</v>
      </c>
      <c r="D546">
        <v>5882.05</v>
      </c>
      <c r="E546" s="8">
        <v>47496.17</v>
      </c>
      <c r="F546">
        <v>49690</v>
      </c>
      <c r="G546">
        <v>33594.769999999997</v>
      </c>
      <c r="H546">
        <v>33594.769999999997</v>
      </c>
    </row>
    <row r="547" spans="1:8" x14ac:dyDescent="0.2">
      <c r="A547">
        <v>952</v>
      </c>
      <c r="B547">
        <v>39031</v>
      </c>
      <c r="C547" t="s">
        <v>558</v>
      </c>
      <c r="D547">
        <v>0</v>
      </c>
      <c r="E547" s="8">
        <v>1312.03</v>
      </c>
      <c r="F547">
        <v>3000</v>
      </c>
      <c r="G547">
        <v>1531.76</v>
      </c>
      <c r="H547">
        <v>1531.76</v>
      </c>
    </row>
    <row r="548" spans="1:8" x14ac:dyDescent="0.2">
      <c r="A548">
        <v>952</v>
      </c>
      <c r="B548">
        <v>39032</v>
      </c>
      <c r="C548" t="s">
        <v>454</v>
      </c>
      <c r="D548">
        <v>1133.42</v>
      </c>
      <c r="E548" s="8">
        <v>3677.22</v>
      </c>
      <c r="F548">
        <v>2500</v>
      </c>
      <c r="G548">
        <v>1233.54</v>
      </c>
      <c r="H548">
        <v>1233.54</v>
      </c>
    </row>
    <row r="549" spans="1:8" x14ac:dyDescent="0.2">
      <c r="A549">
        <v>952</v>
      </c>
      <c r="B549">
        <v>39033</v>
      </c>
      <c r="C549" t="s">
        <v>58</v>
      </c>
      <c r="D549">
        <v>0</v>
      </c>
      <c r="E549" s="8">
        <v>0</v>
      </c>
      <c r="F549">
        <v>0</v>
      </c>
      <c r="G549">
        <v>0</v>
      </c>
      <c r="H549">
        <v>0</v>
      </c>
    </row>
    <row r="550" spans="1:8" x14ac:dyDescent="0.2">
      <c r="A550">
        <v>952</v>
      </c>
      <c r="B550">
        <v>39034</v>
      </c>
      <c r="C550" t="s">
        <v>516</v>
      </c>
      <c r="D550">
        <v>1172.25</v>
      </c>
      <c r="E550" s="8">
        <v>12300.13</v>
      </c>
      <c r="F550">
        <v>13500</v>
      </c>
      <c r="G550">
        <v>13734.43</v>
      </c>
      <c r="H550">
        <v>13734.43</v>
      </c>
    </row>
    <row r="551" spans="1:8" x14ac:dyDescent="0.2">
      <c r="A551">
        <v>952</v>
      </c>
      <c r="B551">
        <v>39051</v>
      </c>
      <c r="C551" t="s">
        <v>499</v>
      </c>
      <c r="D551">
        <v>0</v>
      </c>
      <c r="E551" s="8">
        <v>1537.09</v>
      </c>
      <c r="F551">
        <v>1800</v>
      </c>
      <c r="G551">
        <v>1317.8</v>
      </c>
      <c r="H551">
        <v>1317.8</v>
      </c>
    </row>
    <row r="552" spans="1:8" x14ac:dyDescent="0.2">
      <c r="A552">
        <v>952</v>
      </c>
      <c r="B552">
        <v>39052</v>
      </c>
      <c r="C552" t="s">
        <v>637</v>
      </c>
      <c r="D552">
        <v>1454.89</v>
      </c>
      <c r="E552" s="8">
        <v>14132.33</v>
      </c>
      <c r="F552">
        <v>14700</v>
      </c>
      <c r="G552">
        <v>14637.81</v>
      </c>
      <c r="H552">
        <v>14637.81</v>
      </c>
    </row>
    <row r="553" spans="1:8" x14ac:dyDescent="0.2">
      <c r="A553">
        <v>952</v>
      </c>
      <c r="B553">
        <v>39053</v>
      </c>
      <c r="C553" t="s">
        <v>520</v>
      </c>
      <c r="D553">
        <v>0</v>
      </c>
      <c r="E553" s="8">
        <v>0</v>
      </c>
      <c r="F553">
        <v>0</v>
      </c>
      <c r="G553">
        <v>0</v>
      </c>
      <c r="H553">
        <v>0</v>
      </c>
    </row>
    <row r="554" spans="1:8" x14ac:dyDescent="0.2">
      <c r="A554">
        <v>952</v>
      </c>
      <c r="B554">
        <v>39054</v>
      </c>
      <c r="C554" t="s">
        <v>569</v>
      </c>
      <c r="D554">
        <v>0</v>
      </c>
      <c r="E554" s="8">
        <v>160.87</v>
      </c>
      <c r="F554">
        <v>0</v>
      </c>
      <c r="G554">
        <v>0</v>
      </c>
      <c r="H554">
        <v>0</v>
      </c>
    </row>
    <row r="555" spans="1:8" x14ac:dyDescent="0.2">
      <c r="A555">
        <v>952</v>
      </c>
      <c r="B555">
        <v>39055</v>
      </c>
      <c r="C555" t="s">
        <v>825</v>
      </c>
      <c r="D555">
        <v>400.36</v>
      </c>
      <c r="E555" s="8">
        <v>9120.5499999999993</v>
      </c>
      <c r="F555">
        <v>15000</v>
      </c>
      <c r="G555">
        <v>15516.6</v>
      </c>
      <c r="H555">
        <v>15516.6</v>
      </c>
    </row>
    <row r="556" spans="1:8" x14ac:dyDescent="0.2">
      <c r="A556">
        <v>952</v>
      </c>
      <c r="B556">
        <v>39056</v>
      </c>
      <c r="C556" t="s">
        <v>571</v>
      </c>
      <c r="D556">
        <v>0</v>
      </c>
      <c r="E556" s="8">
        <v>157.32</v>
      </c>
      <c r="F556">
        <v>1000</v>
      </c>
      <c r="G556">
        <v>453.02</v>
      </c>
      <c r="H556">
        <v>453.02</v>
      </c>
    </row>
    <row r="557" spans="1:8" x14ac:dyDescent="0.2">
      <c r="A557">
        <v>952</v>
      </c>
      <c r="B557">
        <v>39057</v>
      </c>
      <c r="C557" t="s">
        <v>491</v>
      </c>
      <c r="D557">
        <v>236.35</v>
      </c>
      <c r="E557" s="8">
        <v>2260.33</v>
      </c>
      <c r="F557">
        <v>3500</v>
      </c>
      <c r="G557">
        <v>5010.53</v>
      </c>
      <c r="H557">
        <v>5010.53</v>
      </c>
    </row>
    <row r="558" spans="1:8" x14ac:dyDescent="0.2">
      <c r="A558">
        <v>952</v>
      </c>
      <c r="B558">
        <v>39058</v>
      </c>
      <c r="C558" t="s">
        <v>544</v>
      </c>
      <c r="D558">
        <v>-22.52</v>
      </c>
      <c r="E558" s="8">
        <v>2935.48</v>
      </c>
      <c r="F558">
        <v>4700</v>
      </c>
      <c r="G558">
        <v>3650.82</v>
      </c>
      <c r="H558">
        <v>3650.82</v>
      </c>
    </row>
    <row r="559" spans="1:8" x14ac:dyDescent="0.2">
      <c r="A559">
        <v>952</v>
      </c>
      <c r="B559">
        <v>39059</v>
      </c>
      <c r="C559" t="s">
        <v>828</v>
      </c>
      <c r="D559">
        <v>1107.04</v>
      </c>
      <c r="E559" s="8">
        <v>3997.3</v>
      </c>
      <c r="F559">
        <v>3000</v>
      </c>
      <c r="G559">
        <v>2711.58</v>
      </c>
      <c r="H559">
        <v>2711.58</v>
      </c>
    </row>
    <row r="560" spans="1:8" x14ac:dyDescent="0.2">
      <c r="A560">
        <v>952</v>
      </c>
      <c r="B560">
        <v>39060</v>
      </c>
      <c r="C560" t="s">
        <v>557</v>
      </c>
      <c r="D560">
        <v>0</v>
      </c>
      <c r="E560" s="8">
        <v>377.1</v>
      </c>
      <c r="F560">
        <v>750</v>
      </c>
      <c r="G560">
        <v>394.85</v>
      </c>
      <c r="H560">
        <v>394.85</v>
      </c>
    </row>
    <row r="561" spans="1:8" x14ac:dyDescent="0.2">
      <c r="A561">
        <v>952</v>
      </c>
      <c r="B561">
        <v>39061</v>
      </c>
      <c r="C561" t="s">
        <v>572</v>
      </c>
      <c r="D561">
        <v>0</v>
      </c>
      <c r="E561" s="8">
        <v>47.83</v>
      </c>
      <c r="F561">
        <v>200</v>
      </c>
      <c r="G561">
        <v>0</v>
      </c>
      <c r="H561">
        <v>0</v>
      </c>
    </row>
    <row r="562" spans="1:8" x14ac:dyDescent="0.2">
      <c r="A562">
        <v>952</v>
      </c>
      <c r="B562">
        <v>39062</v>
      </c>
      <c r="C562" t="s">
        <v>1135</v>
      </c>
      <c r="D562">
        <v>239.64</v>
      </c>
      <c r="E562" s="8">
        <v>717.04</v>
      </c>
      <c r="F562">
        <v>750</v>
      </c>
      <c r="G562">
        <v>659.28</v>
      </c>
      <c r="H562">
        <v>659.28</v>
      </c>
    </row>
    <row r="563" spans="1:8" x14ac:dyDescent="0.2">
      <c r="A563">
        <v>952</v>
      </c>
      <c r="B563">
        <v>39063</v>
      </c>
      <c r="C563" t="s">
        <v>1136</v>
      </c>
      <c r="D563">
        <v>201.4</v>
      </c>
      <c r="E563" s="8">
        <v>395.89</v>
      </c>
      <c r="F563">
        <v>750</v>
      </c>
      <c r="G563">
        <v>726.57</v>
      </c>
      <c r="H563">
        <v>726.57</v>
      </c>
    </row>
    <row r="564" spans="1:8" x14ac:dyDescent="0.2">
      <c r="A564">
        <v>952</v>
      </c>
      <c r="B564">
        <v>39064</v>
      </c>
      <c r="C564" t="s">
        <v>1199</v>
      </c>
      <c r="D564">
        <v>0</v>
      </c>
      <c r="E564" s="8">
        <v>225.38</v>
      </c>
      <c r="F564">
        <v>200</v>
      </c>
      <c r="G564">
        <v>0</v>
      </c>
      <c r="H564">
        <v>0</v>
      </c>
    </row>
    <row r="565" spans="1:8" x14ac:dyDescent="0.2">
      <c r="A565">
        <v>952</v>
      </c>
      <c r="B565">
        <v>39080</v>
      </c>
      <c r="C565" t="s">
        <v>1137</v>
      </c>
      <c r="D565">
        <v>13166.7</v>
      </c>
      <c r="E565" s="8">
        <v>78705.56</v>
      </c>
      <c r="F565">
        <v>95857</v>
      </c>
      <c r="G565">
        <v>89847.26</v>
      </c>
      <c r="H565">
        <v>89847.26</v>
      </c>
    </row>
    <row r="566" spans="1:8" x14ac:dyDescent="0.2">
      <c r="A566">
        <v>952</v>
      </c>
      <c r="B566">
        <v>39081</v>
      </c>
      <c r="C566" t="s">
        <v>558</v>
      </c>
      <c r="D566">
        <v>0</v>
      </c>
      <c r="E566" s="8">
        <v>3356.19</v>
      </c>
      <c r="F566">
        <v>4500</v>
      </c>
      <c r="G566">
        <v>2414.5700000000002</v>
      </c>
      <c r="H566">
        <v>2414.5700000000002</v>
      </c>
    </row>
    <row r="567" spans="1:8" x14ac:dyDescent="0.2">
      <c r="A567">
        <v>952</v>
      </c>
      <c r="B567">
        <v>39082</v>
      </c>
      <c r="C567" t="s">
        <v>454</v>
      </c>
      <c r="D567">
        <v>2861.61</v>
      </c>
      <c r="E567" s="8">
        <v>10991.67</v>
      </c>
      <c r="F567">
        <v>14000</v>
      </c>
      <c r="G567">
        <v>12573.66</v>
      </c>
      <c r="H567">
        <v>12573.66</v>
      </c>
    </row>
    <row r="568" spans="1:8" x14ac:dyDescent="0.2">
      <c r="A568">
        <v>952</v>
      </c>
      <c r="B568">
        <v>39083</v>
      </c>
      <c r="C568" t="s">
        <v>58</v>
      </c>
      <c r="D568">
        <v>0</v>
      </c>
      <c r="E568" s="8">
        <v>0</v>
      </c>
      <c r="F568">
        <v>0</v>
      </c>
      <c r="G568">
        <v>0</v>
      </c>
      <c r="H568">
        <v>0</v>
      </c>
    </row>
    <row r="569" spans="1:8" x14ac:dyDescent="0.2">
      <c r="A569">
        <v>952</v>
      </c>
      <c r="B569">
        <v>39084</v>
      </c>
      <c r="C569" t="s">
        <v>516</v>
      </c>
      <c r="D569">
        <v>1249.42</v>
      </c>
      <c r="E569" s="8">
        <v>11803.45</v>
      </c>
      <c r="F569">
        <v>10000</v>
      </c>
      <c r="G569">
        <v>9719.75</v>
      </c>
      <c r="H569">
        <v>9719.75</v>
      </c>
    </row>
    <row r="570" spans="1:8" x14ac:dyDescent="0.2">
      <c r="A570">
        <v>952</v>
      </c>
      <c r="B570">
        <v>39085</v>
      </c>
      <c r="C570" t="s">
        <v>595</v>
      </c>
      <c r="D570">
        <v>0</v>
      </c>
      <c r="E570" s="8">
        <v>0</v>
      </c>
      <c r="F570">
        <v>0</v>
      </c>
      <c r="G570">
        <v>0</v>
      </c>
      <c r="H570">
        <v>0</v>
      </c>
    </row>
    <row r="571" spans="1:8" x14ac:dyDescent="0.2">
      <c r="A571">
        <v>952</v>
      </c>
      <c r="B571">
        <v>39086</v>
      </c>
      <c r="C571" t="s">
        <v>1138</v>
      </c>
      <c r="D571">
        <v>0</v>
      </c>
      <c r="E571" s="8">
        <v>0</v>
      </c>
      <c r="F571">
        <v>0</v>
      </c>
      <c r="G571">
        <v>0</v>
      </c>
      <c r="H571">
        <v>0</v>
      </c>
    </row>
    <row r="572" spans="1:8" x14ac:dyDescent="0.2">
      <c r="A572">
        <v>952</v>
      </c>
      <c r="B572">
        <v>39101</v>
      </c>
      <c r="C572" t="s">
        <v>499</v>
      </c>
      <c r="D572">
        <v>34.78</v>
      </c>
      <c r="E572" s="8">
        <v>118.11</v>
      </c>
      <c r="F572">
        <v>250</v>
      </c>
      <c r="G572">
        <v>221.45</v>
      </c>
      <c r="H572">
        <v>221.45</v>
      </c>
    </row>
    <row r="573" spans="1:8" x14ac:dyDescent="0.2">
      <c r="A573">
        <v>952</v>
      </c>
      <c r="B573">
        <v>39102</v>
      </c>
      <c r="C573" t="s">
        <v>637</v>
      </c>
      <c r="D573">
        <v>769.55</v>
      </c>
      <c r="E573" s="8">
        <v>7493.53</v>
      </c>
      <c r="F573">
        <v>5500</v>
      </c>
      <c r="G573">
        <v>4897.1099999999997</v>
      </c>
      <c r="H573">
        <v>4897.1099999999997</v>
      </c>
    </row>
    <row r="574" spans="1:8" x14ac:dyDescent="0.2">
      <c r="A574">
        <v>952</v>
      </c>
      <c r="B574">
        <v>39103</v>
      </c>
      <c r="C574" t="s">
        <v>520</v>
      </c>
      <c r="D574">
        <v>0</v>
      </c>
      <c r="E574" s="8">
        <v>0</v>
      </c>
      <c r="F574">
        <v>0</v>
      </c>
      <c r="G574">
        <v>0</v>
      </c>
      <c r="H574">
        <v>0</v>
      </c>
    </row>
    <row r="575" spans="1:8" x14ac:dyDescent="0.2">
      <c r="A575">
        <v>952</v>
      </c>
      <c r="B575">
        <v>39104</v>
      </c>
      <c r="C575" t="s">
        <v>569</v>
      </c>
      <c r="D575">
        <v>82.61</v>
      </c>
      <c r="E575" s="8">
        <v>1337.14</v>
      </c>
      <c r="F575">
        <v>1800</v>
      </c>
      <c r="G575">
        <v>1578.28</v>
      </c>
      <c r="H575">
        <v>1578.28</v>
      </c>
    </row>
    <row r="576" spans="1:8" x14ac:dyDescent="0.2">
      <c r="A576">
        <v>952</v>
      </c>
      <c r="B576">
        <v>39105</v>
      </c>
      <c r="C576" t="s">
        <v>623</v>
      </c>
      <c r="D576">
        <v>0</v>
      </c>
      <c r="E576" s="8">
        <v>400.17</v>
      </c>
      <c r="F576">
        <v>3200</v>
      </c>
      <c r="G576">
        <v>2574.08</v>
      </c>
      <c r="H576">
        <v>2574.08</v>
      </c>
    </row>
    <row r="577" spans="1:8" x14ac:dyDescent="0.2">
      <c r="A577">
        <v>952</v>
      </c>
      <c r="B577">
        <v>39106</v>
      </c>
      <c r="C577" t="s">
        <v>571</v>
      </c>
      <c r="D577">
        <v>0</v>
      </c>
      <c r="E577" s="8">
        <v>128.96</v>
      </c>
      <c r="F577">
        <v>1000</v>
      </c>
      <c r="G577">
        <v>651.83000000000004</v>
      </c>
      <c r="H577">
        <v>651.83000000000004</v>
      </c>
    </row>
    <row r="578" spans="1:8" x14ac:dyDescent="0.2">
      <c r="A578">
        <v>952</v>
      </c>
      <c r="B578">
        <v>39107</v>
      </c>
      <c r="C578" t="s">
        <v>491</v>
      </c>
      <c r="D578">
        <v>30.54</v>
      </c>
      <c r="E578" s="8">
        <v>1155.44</v>
      </c>
      <c r="F578">
        <v>2000</v>
      </c>
      <c r="G578">
        <v>1161.31</v>
      </c>
      <c r="H578">
        <v>1161.31</v>
      </c>
    </row>
    <row r="579" spans="1:8" x14ac:dyDescent="0.2">
      <c r="A579">
        <v>952</v>
      </c>
      <c r="B579">
        <v>39108</v>
      </c>
      <c r="C579" t="s">
        <v>544</v>
      </c>
      <c r="D579">
        <v>118.23</v>
      </c>
      <c r="E579" s="8">
        <v>1217.0999999999999</v>
      </c>
      <c r="F579">
        <v>1000</v>
      </c>
      <c r="G579">
        <v>840.41</v>
      </c>
      <c r="H579">
        <v>840.41</v>
      </c>
    </row>
    <row r="580" spans="1:8" x14ac:dyDescent="0.2">
      <c r="A580">
        <v>952</v>
      </c>
      <c r="B580">
        <v>39109</v>
      </c>
      <c r="C580" t="s">
        <v>828</v>
      </c>
      <c r="D580">
        <v>460.77</v>
      </c>
      <c r="E580" s="8">
        <v>3219.56</v>
      </c>
      <c r="F580">
        <v>4500</v>
      </c>
      <c r="G580">
        <v>4139.0600000000004</v>
      </c>
      <c r="H580">
        <v>4139.0600000000004</v>
      </c>
    </row>
    <row r="581" spans="1:8" x14ac:dyDescent="0.2">
      <c r="A581">
        <v>952</v>
      </c>
      <c r="B581">
        <v>39110</v>
      </c>
      <c r="C581" t="s">
        <v>557</v>
      </c>
      <c r="D581">
        <v>0</v>
      </c>
      <c r="E581" s="8">
        <v>0</v>
      </c>
      <c r="F581">
        <v>200</v>
      </c>
      <c r="G581">
        <v>0</v>
      </c>
      <c r="H581">
        <v>0</v>
      </c>
    </row>
    <row r="582" spans="1:8" x14ac:dyDescent="0.2">
      <c r="A582">
        <v>952</v>
      </c>
      <c r="B582">
        <v>39111</v>
      </c>
      <c r="C582" t="s">
        <v>572</v>
      </c>
      <c r="D582">
        <v>99.13</v>
      </c>
      <c r="E582" s="8">
        <v>99.13</v>
      </c>
      <c r="F582">
        <v>300</v>
      </c>
      <c r="G582">
        <v>0</v>
      </c>
      <c r="H582">
        <v>0</v>
      </c>
    </row>
    <row r="583" spans="1:8" x14ac:dyDescent="0.2">
      <c r="A583">
        <v>952</v>
      </c>
      <c r="B583">
        <v>39112</v>
      </c>
      <c r="C583" t="s">
        <v>626</v>
      </c>
      <c r="D583">
        <v>574.62</v>
      </c>
      <c r="E583" s="8">
        <v>1722.67</v>
      </c>
      <c r="F583">
        <v>1500</v>
      </c>
      <c r="G583">
        <v>1066.56</v>
      </c>
      <c r="H583">
        <v>1066.56</v>
      </c>
    </row>
    <row r="584" spans="1:8" x14ac:dyDescent="0.2">
      <c r="A584">
        <v>952</v>
      </c>
      <c r="B584">
        <v>39113</v>
      </c>
      <c r="C584" t="s">
        <v>1139</v>
      </c>
      <c r="D584">
        <v>0</v>
      </c>
      <c r="E584" s="8">
        <v>0</v>
      </c>
      <c r="F584">
        <v>0</v>
      </c>
      <c r="G584">
        <v>0</v>
      </c>
      <c r="H584">
        <v>0</v>
      </c>
    </row>
    <row r="585" spans="1:8" x14ac:dyDescent="0.2">
      <c r="A585">
        <v>952</v>
      </c>
      <c r="B585">
        <v>39115</v>
      </c>
      <c r="C585" t="s">
        <v>1199</v>
      </c>
      <c r="D585">
        <v>0</v>
      </c>
      <c r="E585" s="8">
        <v>177.39</v>
      </c>
      <c r="F585">
        <v>200</v>
      </c>
      <c r="G585">
        <v>203.46</v>
      </c>
      <c r="H585">
        <v>203.46</v>
      </c>
    </row>
    <row r="586" spans="1:8" x14ac:dyDescent="0.2">
      <c r="A586">
        <v>952</v>
      </c>
      <c r="B586">
        <v>39130</v>
      </c>
      <c r="C586" t="s">
        <v>1140</v>
      </c>
      <c r="D586">
        <v>1739.9</v>
      </c>
      <c r="E586" s="8">
        <v>16758.939999999999</v>
      </c>
      <c r="F586">
        <v>18950</v>
      </c>
      <c r="G586">
        <v>15683.89</v>
      </c>
      <c r="H586">
        <v>15683.89</v>
      </c>
    </row>
    <row r="587" spans="1:8" x14ac:dyDescent="0.2">
      <c r="A587">
        <v>952</v>
      </c>
      <c r="B587">
        <v>39131</v>
      </c>
      <c r="C587" t="s">
        <v>558</v>
      </c>
      <c r="D587">
        <v>0</v>
      </c>
      <c r="E587" s="8">
        <v>647.80999999999995</v>
      </c>
      <c r="F587">
        <v>1500</v>
      </c>
      <c r="G587">
        <v>503.92</v>
      </c>
      <c r="H587">
        <v>503.92</v>
      </c>
    </row>
    <row r="588" spans="1:8" x14ac:dyDescent="0.2">
      <c r="A588">
        <v>952</v>
      </c>
      <c r="B588">
        <v>39132</v>
      </c>
      <c r="C588" t="s">
        <v>454</v>
      </c>
      <c r="D588">
        <v>105.69</v>
      </c>
      <c r="E588" s="8">
        <v>743.33</v>
      </c>
      <c r="F588">
        <v>1000</v>
      </c>
      <c r="G588">
        <v>1246.6500000000001</v>
      </c>
      <c r="H588">
        <v>1246.6500000000001</v>
      </c>
    </row>
    <row r="589" spans="1:8" x14ac:dyDescent="0.2">
      <c r="A589">
        <v>952</v>
      </c>
      <c r="B589">
        <v>39134</v>
      </c>
      <c r="C589" t="s">
        <v>516</v>
      </c>
      <c r="D589">
        <v>451.15</v>
      </c>
      <c r="E589" s="8">
        <v>4506.42</v>
      </c>
      <c r="F589">
        <v>4500</v>
      </c>
      <c r="G589">
        <v>4109.9799999999996</v>
      </c>
      <c r="H589">
        <v>4109.9799999999996</v>
      </c>
    </row>
    <row r="590" spans="1:8" x14ac:dyDescent="0.2">
      <c r="A590">
        <v>952</v>
      </c>
      <c r="B590">
        <v>39135</v>
      </c>
      <c r="C590" t="s">
        <v>595</v>
      </c>
      <c r="D590">
        <v>0</v>
      </c>
      <c r="E590" s="8">
        <v>0</v>
      </c>
      <c r="F590">
        <v>0</v>
      </c>
      <c r="G590">
        <v>0</v>
      </c>
      <c r="H590">
        <v>0</v>
      </c>
    </row>
    <row r="591" spans="1:8" x14ac:dyDescent="0.2">
      <c r="A591">
        <v>952</v>
      </c>
      <c r="B591">
        <v>39136</v>
      </c>
      <c r="C591" t="s">
        <v>56</v>
      </c>
      <c r="D591">
        <v>0</v>
      </c>
      <c r="E591" s="8">
        <v>0</v>
      </c>
      <c r="F591">
        <v>0</v>
      </c>
      <c r="G591">
        <v>0</v>
      </c>
      <c r="H591">
        <v>0</v>
      </c>
    </row>
    <row r="592" spans="1:8" x14ac:dyDescent="0.2">
      <c r="A592">
        <v>952</v>
      </c>
      <c r="B592">
        <v>39151</v>
      </c>
      <c r="C592" t="s">
        <v>499</v>
      </c>
      <c r="D592">
        <v>124.17</v>
      </c>
      <c r="E592" s="8">
        <v>571.79</v>
      </c>
      <c r="F592">
        <v>1000</v>
      </c>
      <c r="G592">
        <v>949.74</v>
      </c>
      <c r="H592">
        <v>949.74</v>
      </c>
    </row>
    <row r="593" spans="1:8" x14ac:dyDescent="0.2">
      <c r="A593">
        <v>952</v>
      </c>
      <c r="B593">
        <v>39152</v>
      </c>
      <c r="C593" t="s">
        <v>637</v>
      </c>
      <c r="D593">
        <v>1094.28</v>
      </c>
      <c r="E593" s="8">
        <v>10567.91</v>
      </c>
      <c r="F593">
        <v>10500</v>
      </c>
      <c r="G593">
        <v>10327.879999999999</v>
      </c>
      <c r="H593">
        <v>10327.879999999999</v>
      </c>
    </row>
    <row r="594" spans="1:8" x14ac:dyDescent="0.2">
      <c r="A594">
        <v>952</v>
      </c>
      <c r="B594">
        <v>39153</v>
      </c>
      <c r="C594" t="s">
        <v>520</v>
      </c>
      <c r="D594">
        <v>0</v>
      </c>
      <c r="E594" s="8">
        <v>0</v>
      </c>
      <c r="F594">
        <v>0</v>
      </c>
      <c r="G594">
        <v>0</v>
      </c>
      <c r="H594">
        <v>0</v>
      </c>
    </row>
    <row r="595" spans="1:8" x14ac:dyDescent="0.2">
      <c r="A595">
        <v>952</v>
      </c>
      <c r="B595">
        <v>39154</v>
      </c>
      <c r="C595" t="s">
        <v>569</v>
      </c>
      <c r="D595">
        <v>0</v>
      </c>
      <c r="E595" s="8">
        <v>0</v>
      </c>
      <c r="F595">
        <v>0</v>
      </c>
      <c r="G595">
        <v>0</v>
      </c>
      <c r="H595">
        <v>0</v>
      </c>
    </row>
    <row r="596" spans="1:8" x14ac:dyDescent="0.2">
      <c r="A596">
        <v>952</v>
      </c>
      <c r="B596">
        <v>39155</v>
      </c>
      <c r="C596" t="s">
        <v>623</v>
      </c>
      <c r="D596">
        <v>345.48</v>
      </c>
      <c r="E596" s="8">
        <v>1683.42</v>
      </c>
      <c r="F596">
        <v>8500</v>
      </c>
      <c r="G596">
        <v>6826.33</v>
      </c>
      <c r="H596">
        <v>6826.33</v>
      </c>
    </row>
    <row r="597" spans="1:8" x14ac:dyDescent="0.2">
      <c r="A597">
        <v>952</v>
      </c>
      <c r="B597">
        <v>39156</v>
      </c>
      <c r="C597" t="s">
        <v>571</v>
      </c>
      <c r="D597">
        <v>0</v>
      </c>
      <c r="E597" s="8">
        <v>195.19</v>
      </c>
      <c r="F597">
        <v>1500</v>
      </c>
      <c r="G597">
        <v>1577.1</v>
      </c>
      <c r="H597">
        <v>1577.1</v>
      </c>
    </row>
    <row r="598" spans="1:8" x14ac:dyDescent="0.2">
      <c r="A598">
        <v>952</v>
      </c>
      <c r="B598">
        <v>39157</v>
      </c>
      <c r="C598" t="s">
        <v>491</v>
      </c>
      <c r="D598">
        <v>161.49</v>
      </c>
      <c r="E598" s="8">
        <v>1474.1</v>
      </c>
      <c r="F598">
        <v>3800</v>
      </c>
      <c r="G598">
        <v>4622.1899999999996</v>
      </c>
      <c r="H598">
        <v>4622.1899999999996</v>
      </c>
    </row>
    <row r="599" spans="1:8" x14ac:dyDescent="0.2">
      <c r="A599">
        <v>952</v>
      </c>
      <c r="B599">
        <v>39158</v>
      </c>
      <c r="C599" t="s">
        <v>544</v>
      </c>
      <c r="D599">
        <v>11.13</v>
      </c>
      <c r="E599" s="8">
        <v>463.95</v>
      </c>
      <c r="F599">
        <v>1000</v>
      </c>
      <c r="G599">
        <v>948.32</v>
      </c>
      <c r="H599">
        <v>948.32</v>
      </c>
    </row>
    <row r="600" spans="1:8" x14ac:dyDescent="0.2">
      <c r="A600">
        <v>952</v>
      </c>
      <c r="B600">
        <v>39159</v>
      </c>
      <c r="C600" t="s">
        <v>828</v>
      </c>
      <c r="D600">
        <v>919.97</v>
      </c>
      <c r="E600" s="8">
        <v>3216.13</v>
      </c>
      <c r="F600">
        <v>4000</v>
      </c>
      <c r="G600">
        <v>2663.33</v>
      </c>
      <c r="H600">
        <v>2663.33</v>
      </c>
    </row>
    <row r="601" spans="1:8" x14ac:dyDescent="0.2">
      <c r="A601">
        <v>952</v>
      </c>
      <c r="B601">
        <v>39160</v>
      </c>
      <c r="C601" t="s">
        <v>557</v>
      </c>
      <c r="D601">
        <v>0</v>
      </c>
      <c r="E601" s="8">
        <v>86.43</v>
      </c>
      <c r="F601">
        <v>200</v>
      </c>
      <c r="G601">
        <v>0</v>
      </c>
      <c r="H601">
        <v>0</v>
      </c>
    </row>
    <row r="602" spans="1:8" x14ac:dyDescent="0.2">
      <c r="A602">
        <v>952</v>
      </c>
      <c r="B602">
        <v>39161</v>
      </c>
      <c r="C602" t="s">
        <v>572</v>
      </c>
      <c r="D602">
        <v>0</v>
      </c>
      <c r="E602" s="8">
        <v>0</v>
      </c>
      <c r="F602">
        <v>200</v>
      </c>
      <c r="G602">
        <v>0</v>
      </c>
      <c r="H602">
        <v>0</v>
      </c>
    </row>
    <row r="603" spans="1:8" x14ac:dyDescent="0.2">
      <c r="A603">
        <v>952</v>
      </c>
      <c r="B603">
        <v>39162</v>
      </c>
      <c r="C603" t="s">
        <v>1132</v>
      </c>
      <c r="D603">
        <v>0</v>
      </c>
      <c r="E603" s="8">
        <v>0</v>
      </c>
      <c r="F603">
        <v>0</v>
      </c>
      <c r="G603">
        <v>0</v>
      </c>
      <c r="H603">
        <v>0</v>
      </c>
    </row>
    <row r="604" spans="1:8" x14ac:dyDescent="0.2">
      <c r="A604">
        <v>952</v>
      </c>
      <c r="B604">
        <v>39163</v>
      </c>
      <c r="C604" t="s">
        <v>580</v>
      </c>
      <c r="D604">
        <v>17.39</v>
      </c>
      <c r="E604" s="8">
        <v>772.34</v>
      </c>
      <c r="F604">
        <v>1000</v>
      </c>
      <c r="G604">
        <v>583.29</v>
      </c>
      <c r="H604">
        <v>583.29</v>
      </c>
    </row>
    <row r="605" spans="1:8" x14ac:dyDescent="0.2">
      <c r="A605">
        <v>952</v>
      </c>
      <c r="B605">
        <v>39164</v>
      </c>
      <c r="C605" t="s">
        <v>1141</v>
      </c>
      <c r="D605">
        <v>842.65</v>
      </c>
      <c r="E605" s="8">
        <v>4828.3900000000003</v>
      </c>
      <c r="F605">
        <v>1500</v>
      </c>
      <c r="G605">
        <v>1734.99</v>
      </c>
      <c r="H605">
        <v>1734.99</v>
      </c>
    </row>
    <row r="606" spans="1:8" x14ac:dyDescent="0.2">
      <c r="A606">
        <v>952</v>
      </c>
      <c r="B606">
        <v>39165</v>
      </c>
      <c r="C606" t="s">
        <v>1142</v>
      </c>
      <c r="D606">
        <v>0</v>
      </c>
      <c r="E606" s="8">
        <v>0</v>
      </c>
      <c r="F606">
        <v>250</v>
      </c>
      <c r="G606">
        <v>305.58</v>
      </c>
      <c r="H606">
        <v>305.58</v>
      </c>
    </row>
    <row r="607" spans="1:8" x14ac:dyDescent="0.2">
      <c r="A607">
        <v>952</v>
      </c>
      <c r="B607">
        <v>39169</v>
      </c>
      <c r="C607" t="s">
        <v>1199</v>
      </c>
      <c r="D607">
        <v>0</v>
      </c>
      <c r="E607" s="8">
        <v>0</v>
      </c>
      <c r="F607">
        <v>200</v>
      </c>
      <c r="G607">
        <v>0</v>
      </c>
      <c r="H607">
        <v>0</v>
      </c>
    </row>
    <row r="608" spans="1:8" x14ac:dyDescent="0.2">
      <c r="A608">
        <v>952</v>
      </c>
      <c r="B608">
        <v>39170</v>
      </c>
      <c r="C608" t="s">
        <v>526</v>
      </c>
      <c r="D608">
        <v>0</v>
      </c>
      <c r="E608" s="8">
        <v>0</v>
      </c>
      <c r="F608">
        <v>0</v>
      </c>
      <c r="G608">
        <v>0</v>
      </c>
      <c r="H608">
        <v>0</v>
      </c>
    </row>
    <row r="609" spans="1:8" x14ac:dyDescent="0.2">
      <c r="A609">
        <v>952</v>
      </c>
      <c r="B609">
        <v>39180</v>
      </c>
      <c r="C609" t="s">
        <v>512</v>
      </c>
      <c r="D609">
        <v>9055.2999999999993</v>
      </c>
      <c r="E609" s="8">
        <v>54289.7</v>
      </c>
      <c r="F609">
        <v>52573</v>
      </c>
      <c r="G609">
        <v>51804.78</v>
      </c>
      <c r="H609">
        <v>51804.78</v>
      </c>
    </row>
    <row r="610" spans="1:8" x14ac:dyDescent="0.2">
      <c r="A610">
        <v>952</v>
      </c>
      <c r="B610">
        <v>39181</v>
      </c>
      <c r="C610" t="s">
        <v>558</v>
      </c>
      <c r="D610">
        <v>269.57</v>
      </c>
      <c r="E610" s="8">
        <v>1110.45</v>
      </c>
      <c r="F610">
        <v>3300</v>
      </c>
      <c r="G610">
        <v>1387.67</v>
      </c>
      <c r="H610">
        <v>1387.67</v>
      </c>
    </row>
    <row r="611" spans="1:8" x14ac:dyDescent="0.2">
      <c r="A611">
        <v>952</v>
      </c>
      <c r="B611">
        <v>39182</v>
      </c>
      <c r="C611" t="s">
        <v>454</v>
      </c>
      <c r="D611">
        <v>2464.0100000000002</v>
      </c>
      <c r="E611" s="8">
        <v>8920.14</v>
      </c>
      <c r="F611">
        <v>9000</v>
      </c>
      <c r="G611">
        <v>8911.01</v>
      </c>
      <c r="H611">
        <v>8911.01</v>
      </c>
    </row>
    <row r="612" spans="1:8" x14ac:dyDescent="0.2">
      <c r="A612">
        <v>952</v>
      </c>
      <c r="B612">
        <v>39183</v>
      </c>
      <c r="C612" t="s">
        <v>58</v>
      </c>
      <c r="D612">
        <v>0</v>
      </c>
      <c r="E612" s="8">
        <v>0</v>
      </c>
      <c r="F612">
        <v>0</v>
      </c>
      <c r="G612">
        <v>0</v>
      </c>
      <c r="H612">
        <v>0</v>
      </c>
    </row>
    <row r="613" spans="1:8" x14ac:dyDescent="0.2">
      <c r="A613">
        <v>952</v>
      </c>
      <c r="B613">
        <v>39184</v>
      </c>
      <c r="C613" t="s">
        <v>516</v>
      </c>
      <c r="D613">
        <v>1156.6600000000001</v>
      </c>
      <c r="E613" s="8">
        <v>9342.61</v>
      </c>
      <c r="F613">
        <v>8500</v>
      </c>
      <c r="G613">
        <v>7756.55</v>
      </c>
      <c r="H613">
        <v>7756.55</v>
      </c>
    </row>
    <row r="614" spans="1:8" x14ac:dyDescent="0.2">
      <c r="A614">
        <v>952</v>
      </c>
      <c r="B614">
        <v>39185</v>
      </c>
      <c r="C614" t="s">
        <v>595</v>
      </c>
      <c r="D614">
        <v>0</v>
      </c>
      <c r="E614" s="8">
        <v>0</v>
      </c>
      <c r="F614">
        <v>0</v>
      </c>
      <c r="G614">
        <v>0</v>
      </c>
      <c r="H614">
        <v>0</v>
      </c>
    </row>
    <row r="615" spans="1:8" x14ac:dyDescent="0.2">
      <c r="A615">
        <v>952</v>
      </c>
      <c r="B615">
        <v>39201</v>
      </c>
      <c r="C615" t="s">
        <v>499</v>
      </c>
      <c r="D615">
        <v>17.39</v>
      </c>
      <c r="E615" s="8">
        <v>54.48</v>
      </c>
      <c r="F615">
        <v>500</v>
      </c>
      <c r="G615">
        <v>627.44000000000005</v>
      </c>
      <c r="H615">
        <v>627.44000000000005</v>
      </c>
    </row>
    <row r="616" spans="1:8" x14ac:dyDescent="0.2">
      <c r="A616">
        <v>952</v>
      </c>
      <c r="B616">
        <v>39202</v>
      </c>
      <c r="C616" t="s">
        <v>637</v>
      </c>
      <c r="D616">
        <v>151.19999999999999</v>
      </c>
      <c r="E616" s="8">
        <v>4539.71</v>
      </c>
      <c r="F616">
        <v>5500</v>
      </c>
      <c r="G616">
        <v>3531.91</v>
      </c>
      <c r="H616">
        <v>3531.91</v>
      </c>
    </row>
    <row r="617" spans="1:8" x14ac:dyDescent="0.2">
      <c r="A617">
        <v>952</v>
      </c>
      <c r="B617">
        <v>39203</v>
      </c>
      <c r="C617" t="s">
        <v>520</v>
      </c>
      <c r="D617">
        <v>0</v>
      </c>
      <c r="E617" s="8">
        <v>275.89</v>
      </c>
      <c r="F617">
        <v>872</v>
      </c>
      <c r="G617">
        <v>-162.57</v>
      </c>
      <c r="H617">
        <v>-162.57</v>
      </c>
    </row>
    <row r="618" spans="1:8" x14ac:dyDescent="0.2">
      <c r="A618">
        <v>952</v>
      </c>
      <c r="B618">
        <v>39204</v>
      </c>
      <c r="C618" t="s">
        <v>569</v>
      </c>
      <c r="D618">
        <v>0</v>
      </c>
      <c r="E618" s="8">
        <v>59.57</v>
      </c>
      <c r="F618">
        <v>1000</v>
      </c>
      <c r="G618">
        <v>946.03</v>
      </c>
      <c r="H618">
        <v>946.03</v>
      </c>
    </row>
    <row r="619" spans="1:8" x14ac:dyDescent="0.2">
      <c r="A619">
        <v>952</v>
      </c>
      <c r="B619">
        <v>39205</v>
      </c>
      <c r="C619" t="s">
        <v>623</v>
      </c>
      <c r="D619">
        <v>2173.91</v>
      </c>
      <c r="E619" s="8">
        <v>2173.91</v>
      </c>
      <c r="F619">
        <v>2200</v>
      </c>
      <c r="G619">
        <v>2173.91</v>
      </c>
      <c r="H619">
        <v>2173.91</v>
      </c>
    </row>
    <row r="620" spans="1:8" x14ac:dyDescent="0.2">
      <c r="A620">
        <v>952</v>
      </c>
      <c r="B620">
        <v>39206</v>
      </c>
      <c r="C620" t="s">
        <v>571</v>
      </c>
      <c r="D620">
        <v>0</v>
      </c>
      <c r="E620" s="8">
        <v>218</v>
      </c>
      <c r="F620">
        <v>450</v>
      </c>
      <c r="G620">
        <v>1911.52</v>
      </c>
      <c r="H620">
        <v>1911.52</v>
      </c>
    </row>
    <row r="621" spans="1:8" x14ac:dyDescent="0.2">
      <c r="A621">
        <v>952</v>
      </c>
      <c r="B621">
        <v>39207</v>
      </c>
      <c r="C621" t="s">
        <v>491</v>
      </c>
      <c r="D621">
        <v>158.94999999999999</v>
      </c>
      <c r="E621" s="8">
        <v>367.71</v>
      </c>
      <c r="F621">
        <v>2000</v>
      </c>
      <c r="G621">
        <v>2808.23</v>
      </c>
      <c r="H621">
        <v>2808.23</v>
      </c>
    </row>
    <row r="622" spans="1:8" x14ac:dyDescent="0.2">
      <c r="A622">
        <v>952</v>
      </c>
      <c r="B622">
        <v>39208</v>
      </c>
      <c r="C622" t="s">
        <v>544</v>
      </c>
      <c r="D622">
        <v>96.74</v>
      </c>
      <c r="E622" s="8">
        <v>1020.77</v>
      </c>
      <c r="F622">
        <v>1000</v>
      </c>
      <c r="G622">
        <v>934.21</v>
      </c>
      <c r="H622">
        <v>934.21</v>
      </c>
    </row>
    <row r="623" spans="1:8" x14ac:dyDescent="0.2">
      <c r="A623">
        <v>952</v>
      </c>
      <c r="B623">
        <v>39209</v>
      </c>
      <c r="C623" t="s">
        <v>828</v>
      </c>
      <c r="D623">
        <v>394.99</v>
      </c>
      <c r="E623" s="8">
        <v>3476.78</v>
      </c>
      <c r="F623">
        <v>2500</v>
      </c>
      <c r="G623">
        <v>3622.87</v>
      </c>
      <c r="H623">
        <v>3622.87</v>
      </c>
    </row>
    <row r="624" spans="1:8" x14ac:dyDescent="0.2">
      <c r="A624">
        <v>952</v>
      </c>
      <c r="B624">
        <v>39210</v>
      </c>
      <c r="C624" t="s">
        <v>557</v>
      </c>
      <c r="D624">
        <v>21.04</v>
      </c>
      <c r="E624" s="8">
        <v>21.04</v>
      </c>
      <c r="F624">
        <v>100</v>
      </c>
      <c r="G624">
        <v>0</v>
      </c>
      <c r="H624">
        <v>0</v>
      </c>
    </row>
    <row r="625" spans="1:8" x14ac:dyDescent="0.2">
      <c r="A625">
        <v>952</v>
      </c>
      <c r="B625">
        <v>39211</v>
      </c>
      <c r="C625" t="s">
        <v>572</v>
      </c>
      <c r="D625">
        <v>0</v>
      </c>
      <c r="E625" s="8">
        <v>0</v>
      </c>
      <c r="F625">
        <v>100</v>
      </c>
      <c r="G625">
        <v>0</v>
      </c>
      <c r="H625">
        <v>0</v>
      </c>
    </row>
    <row r="626" spans="1:8" x14ac:dyDescent="0.2">
      <c r="A626">
        <v>952</v>
      </c>
      <c r="B626">
        <v>39212</v>
      </c>
      <c r="C626" t="s">
        <v>1132</v>
      </c>
      <c r="D626">
        <v>0</v>
      </c>
      <c r="E626" s="8">
        <v>0</v>
      </c>
      <c r="F626">
        <v>0</v>
      </c>
      <c r="G626">
        <v>0</v>
      </c>
      <c r="H626">
        <v>0</v>
      </c>
    </row>
    <row r="627" spans="1:8" x14ac:dyDescent="0.2">
      <c r="A627">
        <v>952</v>
      </c>
      <c r="B627">
        <v>39214</v>
      </c>
      <c r="C627" t="s">
        <v>626</v>
      </c>
      <c r="D627">
        <v>0</v>
      </c>
      <c r="E627" s="8">
        <v>0</v>
      </c>
      <c r="F627">
        <v>500</v>
      </c>
      <c r="G627">
        <v>249.96</v>
      </c>
      <c r="H627">
        <v>249.96</v>
      </c>
    </row>
    <row r="628" spans="1:8" x14ac:dyDescent="0.2">
      <c r="A628">
        <v>952</v>
      </c>
      <c r="B628">
        <v>39215</v>
      </c>
      <c r="C628" t="s">
        <v>1199</v>
      </c>
      <c r="D628">
        <v>200</v>
      </c>
      <c r="E628" s="8">
        <v>200</v>
      </c>
      <c r="F628">
        <v>200</v>
      </c>
      <c r="G628">
        <v>0</v>
      </c>
      <c r="H628">
        <v>0</v>
      </c>
    </row>
    <row r="629" spans="1:8" x14ac:dyDescent="0.2">
      <c r="A629">
        <v>952</v>
      </c>
      <c r="B629">
        <v>39230</v>
      </c>
      <c r="C629" t="s">
        <v>1143</v>
      </c>
      <c r="D629">
        <v>3212.67</v>
      </c>
      <c r="E629" s="8">
        <v>25621.97</v>
      </c>
      <c r="F629">
        <v>30395</v>
      </c>
      <c r="G629">
        <v>27267.16</v>
      </c>
      <c r="H629">
        <v>27267.16</v>
      </c>
    </row>
    <row r="630" spans="1:8" x14ac:dyDescent="0.2">
      <c r="A630">
        <v>952</v>
      </c>
      <c r="B630">
        <v>39231</v>
      </c>
      <c r="C630" t="s">
        <v>558</v>
      </c>
      <c r="D630">
        <v>45.03</v>
      </c>
      <c r="E630" s="8">
        <v>300.68</v>
      </c>
      <c r="F630">
        <v>1000</v>
      </c>
      <c r="G630">
        <v>323.22000000000003</v>
      </c>
      <c r="H630">
        <v>323.22000000000003</v>
      </c>
    </row>
    <row r="631" spans="1:8" x14ac:dyDescent="0.2">
      <c r="A631">
        <v>952</v>
      </c>
      <c r="B631">
        <v>39232</v>
      </c>
      <c r="C631" t="s">
        <v>454</v>
      </c>
      <c r="D631">
        <v>750.82</v>
      </c>
      <c r="E631" s="8">
        <v>1863.58</v>
      </c>
      <c r="F631">
        <v>250</v>
      </c>
      <c r="G631">
        <v>712.38</v>
      </c>
      <c r="H631">
        <v>712.38</v>
      </c>
    </row>
    <row r="632" spans="1:8" x14ac:dyDescent="0.2">
      <c r="A632">
        <v>952</v>
      </c>
      <c r="B632">
        <v>39234</v>
      </c>
      <c r="C632" t="s">
        <v>516</v>
      </c>
      <c r="D632">
        <v>363.92</v>
      </c>
      <c r="E632" s="8">
        <v>3318.88</v>
      </c>
      <c r="F632">
        <v>4000</v>
      </c>
      <c r="G632">
        <v>3250.98</v>
      </c>
      <c r="H632">
        <v>3250.98</v>
      </c>
    </row>
    <row r="633" spans="1:8" x14ac:dyDescent="0.2">
      <c r="A633">
        <v>952</v>
      </c>
      <c r="B633">
        <v>39235</v>
      </c>
      <c r="C633" t="s">
        <v>595</v>
      </c>
      <c r="D633">
        <v>0</v>
      </c>
      <c r="E633" s="8">
        <v>0</v>
      </c>
      <c r="F633">
        <v>0</v>
      </c>
      <c r="G633">
        <v>0</v>
      </c>
      <c r="H633">
        <v>0</v>
      </c>
    </row>
    <row r="634" spans="1:8" x14ac:dyDescent="0.2">
      <c r="A634">
        <v>952</v>
      </c>
      <c r="B634">
        <v>39251</v>
      </c>
      <c r="C634" t="s">
        <v>499</v>
      </c>
      <c r="D634">
        <v>37.04</v>
      </c>
      <c r="E634" s="8">
        <v>757.59</v>
      </c>
      <c r="F634">
        <v>600</v>
      </c>
      <c r="G634">
        <v>555.08000000000004</v>
      </c>
      <c r="H634">
        <v>555.08000000000004</v>
      </c>
    </row>
    <row r="635" spans="1:8" x14ac:dyDescent="0.2">
      <c r="A635">
        <v>952</v>
      </c>
      <c r="B635">
        <v>39252</v>
      </c>
      <c r="C635" t="s">
        <v>637</v>
      </c>
      <c r="D635">
        <v>653.65</v>
      </c>
      <c r="E635" s="8">
        <v>7821.1</v>
      </c>
      <c r="F635">
        <v>8000</v>
      </c>
      <c r="G635">
        <v>8027.93</v>
      </c>
      <c r="H635">
        <v>8027.93</v>
      </c>
    </row>
    <row r="636" spans="1:8" x14ac:dyDescent="0.2">
      <c r="A636">
        <v>952</v>
      </c>
      <c r="B636">
        <v>39253</v>
      </c>
      <c r="C636" t="s">
        <v>520</v>
      </c>
      <c r="D636">
        <v>0</v>
      </c>
      <c r="E636" s="8">
        <v>0</v>
      </c>
      <c r="F636">
        <v>0</v>
      </c>
      <c r="G636">
        <v>0</v>
      </c>
      <c r="H636">
        <v>0</v>
      </c>
    </row>
    <row r="637" spans="1:8" x14ac:dyDescent="0.2">
      <c r="A637">
        <v>952</v>
      </c>
      <c r="B637">
        <v>39254</v>
      </c>
      <c r="C637" t="s">
        <v>569</v>
      </c>
      <c r="D637">
        <v>0</v>
      </c>
      <c r="E637" s="8">
        <v>0</v>
      </c>
      <c r="F637">
        <v>0</v>
      </c>
      <c r="G637">
        <v>0</v>
      </c>
      <c r="H637">
        <v>0</v>
      </c>
    </row>
    <row r="638" spans="1:8" x14ac:dyDescent="0.2">
      <c r="A638">
        <v>952</v>
      </c>
      <c r="B638">
        <v>39255</v>
      </c>
      <c r="C638" t="s">
        <v>623</v>
      </c>
      <c r="D638">
        <v>3350.26</v>
      </c>
      <c r="E638" s="8">
        <v>4067.65</v>
      </c>
      <c r="F638">
        <v>5200</v>
      </c>
      <c r="G638">
        <v>4542.3900000000003</v>
      </c>
      <c r="H638">
        <v>4542.3900000000003</v>
      </c>
    </row>
    <row r="639" spans="1:8" x14ac:dyDescent="0.2">
      <c r="A639">
        <v>952</v>
      </c>
      <c r="B639">
        <v>39256</v>
      </c>
      <c r="C639" t="s">
        <v>571</v>
      </c>
      <c r="D639">
        <v>0</v>
      </c>
      <c r="E639" s="8">
        <v>122.61</v>
      </c>
      <c r="F639">
        <v>500</v>
      </c>
      <c r="G639">
        <v>225</v>
      </c>
      <c r="H639">
        <v>225</v>
      </c>
    </row>
    <row r="640" spans="1:8" x14ac:dyDescent="0.2">
      <c r="A640">
        <v>952</v>
      </c>
      <c r="B640">
        <v>39257</v>
      </c>
      <c r="C640" t="s">
        <v>491</v>
      </c>
      <c r="D640">
        <v>212.42</v>
      </c>
      <c r="E640" s="8">
        <v>1296.83</v>
      </c>
      <c r="F640">
        <v>4300</v>
      </c>
      <c r="G640">
        <v>4656.03</v>
      </c>
      <c r="H640">
        <v>4656.03</v>
      </c>
    </row>
    <row r="641" spans="1:8" x14ac:dyDescent="0.2">
      <c r="A641">
        <v>952</v>
      </c>
      <c r="B641">
        <v>39258</v>
      </c>
      <c r="C641" t="s">
        <v>544</v>
      </c>
      <c r="D641">
        <v>319.2</v>
      </c>
      <c r="E641" s="8">
        <v>1620.9</v>
      </c>
      <c r="F641">
        <v>1500</v>
      </c>
      <c r="G641">
        <v>1622.43</v>
      </c>
      <c r="H641">
        <v>1622.43</v>
      </c>
    </row>
    <row r="642" spans="1:8" x14ac:dyDescent="0.2">
      <c r="A642">
        <v>952</v>
      </c>
      <c r="B642">
        <v>39259</v>
      </c>
      <c r="C642" t="s">
        <v>828</v>
      </c>
      <c r="D642">
        <v>188.55</v>
      </c>
      <c r="E642" s="8">
        <v>4155.6000000000004</v>
      </c>
      <c r="F642">
        <v>3000</v>
      </c>
      <c r="G642">
        <v>2852.68</v>
      </c>
      <c r="H642">
        <v>2852.68</v>
      </c>
    </row>
    <row r="643" spans="1:8" x14ac:dyDescent="0.2">
      <c r="A643">
        <v>952</v>
      </c>
      <c r="B643">
        <v>39260</v>
      </c>
      <c r="C643" t="s">
        <v>557</v>
      </c>
      <c r="D643">
        <v>0</v>
      </c>
      <c r="E643" s="8">
        <v>127.08</v>
      </c>
      <c r="F643">
        <v>100</v>
      </c>
      <c r="G643">
        <v>65.790000000000006</v>
      </c>
      <c r="H643">
        <v>65.790000000000006</v>
      </c>
    </row>
    <row r="644" spans="1:8" x14ac:dyDescent="0.2">
      <c r="A644">
        <v>952</v>
      </c>
      <c r="B644">
        <v>39261</v>
      </c>
      <c r="C644" t="s">
        <v>572</v>
      </c>
      <c r="D644">
        <v>0</v>
      </c>
      <c r="E644" s="8">
        <v>0</v>
      </c>
      <c r="F644">
        <v>110</v>
      </c>
      <c r="G644">
        <v>0</v>
      </c>
      <c r="H644">
        <v>0</v>
      </c>
    </row>
    <row r="645" spans="1:8" x14ac:dyDescent="0.2">
      <c r="A645">
        <v>952</v>
      </c>
      <c r="B645">
        <v>39262</v>
      </c>
      <c r="C645" t="s">
        <v>1132</v>
      </c>
      <c r="D645">
        <v>0</v>
      </c>
      <c r="E645" s="8">
        <v>0</v>
      </c>
      <c r="F645">
        <v>0</v>
      </c>
      <c r="G645">
        <v>0</v>
      </c>
      <c r="H645">
        <v>0</v>
      </c>
    </row>
    <row r="646" spans="1:8" x14ac:dyDescent="0.2">
      <c r="A646">
        <v>952</v>
      </c>
      <c r="B646">
        <v>39263</v>
      </c>
      <c r="C646" t="s">
        <v>1144</v>
      </c>
      <c r="D646">
        <v>0</v>
      </c>
      <c r="E646" s="8">
        <v>263.56</v>
      </c>
      <c r="F646">
        <v>750</v>
      </c>
      <c r="G646">
        <v>3575.21</v>
      </c>
      <c r="H646">
        <v>3575.21</v>
      </c>
    </row>
    <row r="647" spans="1:8" s="8" customFormat="1" x14ac:dyDescent="0.2">
      <c r="A647" s="8">
        <v>952</v>
      </c>
      <c r="B647" s="8">
        <v>39264</v>
      </c>
      <c r="C647" s="8" t="s">
        <v>1199</v>
      </c>
      <c r="D647" s="8">
        <v>43.83</v>
      </c>
      <c r="E647" s="8">
        <v>222.65</v>
      </c>
      <c r="F647" s="8">
        <v>200</v>
      </c>
      <c r="G647" s="8">
        <v>85.73</v>
      </c>
      <c r="H647" s="8">
        <v>85.73</v>
      </c>
    </row>
    <row r="648" spans="1:8" x14ac:dyDescent="0.2">
      <c r="A648">
        <v>952</v>
      </c>
      <c r="B648">
        <v>39265</v>
      </c>
      <c r="C648" t="s">
        <v>627</v>
      </c>
      <c r="D648">
        <v>0</v>
      </c>
      <c r="E648" s="8">
        <v>0</v>
      </c>
      <c r="F648">
        <v>0</v>
      </c>
      <c r="G648">
        <v>0</v>
      </c>
      <c r="H648">
        <v>0</v>
      </c>
    </row>
    <row r="649" spans="1:8" x14ac:dyDescent="0.2">
      <c r="A649">
        <v>952</v>
      </c>
      <c r="B649">
        <v>39280</v>
      </c>
      <c r="C649" t="s">
        <v>1145</v>
      </c>
      <c r="D649">
        <v>7476.67</v>
      </c>
      <c r="E649" s="8">
        <v>42618.83</v>
      </c>
      <c r="F649">
        <v>44777</v>
      </c>
      <c r="G649">
        <v>41481.620000000003</v>
      </c>
      <c r="H649">
        <v>41481.620000000003</v>
      </c>
    </row>
    <row r="650" spans="1:8" x14ac:dyDescent="0.2">
      <c r="A650">
        <v>952</v>
      </c>
      <c r="B650">
        <v>39281</v>
      </c>
      <c r="C650" t="s">
        <v>558</v>
      </c>
      <c r="D650">
        <v>26.09</v>
      </c>
      <c r="E650" s="8">
        <v>195.66</v>
      </c>
      <c r="F650">
        <v>1500</v>
      </c>
      <c r="G650">
        <v>536.66999999999996</v>
      </c>
      <c r="H650">
        <v>536.66999999999996</v>
      </c>
    </row>
    <row r="651" spans="1:8" x14ac:dyDescent="0.2">
      <c r="A651">
        <v>952</v>
      </c>
      <c r="B651">
        <v>39282</v>
      </c>
      <c r="C651" t="s">
        <v>454</v>
      </c>
      <c r="D651">
        <v>220.28</v>
      </c>
      <c r="E651" s="8">
        <v>3124.58</v>
      </c>
      <c r="F651">
        <v>3500</v>
      </c>
      <c r="G651">
        <v>2894.54</v>
      </c>
      <c r="H651">
        <v>2894.54</v>
      </c>
    </row>
    <row r="652" spans="1:8" x14ac:dyDescent="0.2">
      <c r="A652">
        <v>952</v>
      </c>
      <c r="B652">
        <v>39283</v>
      </c>
      <c r="C652" t="s">
        <v>58</v>
      </c>
      <c r="D652">
        <v>0</v>
      </c>
      <c r="E652" s="8">
        <v>0</v>
      </c>
      <c r="F652">
        <v>0</v>
      </c>
      <c r="G652">
        <v>0</v>
      </c>
      <c r="H652">
        <v>0</v>
      </c>
    </row>
    <row r="653" spans="1:8" x14ac:dyDescent="0.2">
      <c r="A653">
        <v>952</v>
      </c>
      <c r="B653">
        <v>39284</v>
      </c>
      <c r="C653" t="s">
        <v>516</v>
      </c>
      <c r="D653">
        <v>847.15</v>
      </c>
      <c r="E653" s="8">
        <v>7589.86</v>
      </c>
      <c r="F653">
        <v>7000</v>
      </c>
      <c r="G653">
        <v>6251.41</v>
      </c>
      <c r="H653">
        <v>6251.41</v>
      </c>
    </row>
    <row r="654" spans="1:8" x14ac:dyDescent="0.2">
      <c r="A654">
        <v>952</v>
      </c>
      <c r="B654">
        <v>39285</v>
      </c>
      <c r="C654" t="s">
        <v>595</v>
      </c>
      <c r="D654">
        <v>0</v>
      </c>
      <c r="E654" s="8">
        <v>0</v>
      </c>
      <c r="F654">
        <v>0</v>
      </c>
      <c r="G654">
        <v>0</v>
      </c>
      <c r="H654">
        <v>0</v>
      </c>
    </row>
    <row r="655" spans="1:8" x14ac:dyDescent="0.2">
      <c r="A655">
        <v>952</v>
      </c>
      <c r="B655">
        <v>39301</v>
      </c>
      <c r="C655" t="s">
        <v>499</v>
      </c>
      <c r="D655">
        <v>42.35</v>
      </c>
      <c r="E655" s="8">
        <v>465.59</v>
      </c>
      <c r="F655">
        <v>1100</v>
      </c>
      <c r="G655">
        <v>999.96</v>
      </c>
      <c r="H655">
        <v>999.96</v>
      </c>
    </row>
    <row r="656" spans="1:8" x14ac:dyDescent="0.2">
      <c r="A656">
        <v>952</v>
      </c>
      <c r="B656">
        <v>39302</v>
      </c>
      <c r="C656" t="s">
        <v>637</v>
      </c>
      <c r="D656">
        <v>836.04</v>
      </c>
      <c r="E656" s="8">
        <v>7825.85</v>
      </c>
      <c r="F656">
        <v>8700</v>
      </c>
      <c r="G656">
        <v>7000.74</v>
      </c>
      <c r="H656">
        <v>7000.74</v>
      </c>
    </row>
    <row r="657" spans="1:8" x14ac:dyDescent="0.2">
      <c r="A657">
        <v>952</v>
      </c>
      <c r="B657">
        <v>39303</v>
      </c>
      <c r="C657" t="s">
        <v>520</v>
      </c>
      <c r="D657">
        <v>0</v>
      </c>
      <c r="E657" s="8">
        <v>0</v>
      </c>
      <c r="F657">
        <v>0</v>
      </c>
      <c r="G657">
        <v>0</v>
      </c>
      <c r="H657">
        <v>0</v>
      </c>
    </row>
    <row r="658" spans="1:8" x14ac:dyDescent="0.2">
      <c r="A658">
        <v>952</v>
      </c>
      <c r="B658">
        <v>39304</v>
      </c>
      <c r="C658" t="s">
        <v>569</v>
      </c>
      <c r="D658">
        <v>0</v>
      </c>
      <c r="E658" s="8">
        <v>0</v>
      </c>
      <c r="F658">
        <v>0</v>
      </c>
      <c r="G658">
        <v>0</v>
      </c>
      <c r="H658">
        <v>0</v>
      </c>
    </row>
    <row r="659" spans="1:8" x14ac:dyDescent="0.2">
      <c r="A659">
        <v>952</v>
      </c>
      <c r="B659">
        <v>39305</v>
      </c>
      <c r="C659" t="s">
        <v>623</v>
      </c>
      <c r="D659">
        <v>1317.27</v>
      </c>
      <c r="E659" s="8">
        <v>12310.44</v>
      </c>
      <c r="F659">
        <v>4200</v>
      </c>
      <c r="G659">
        <v>3984.5</v>
      </c>
      <c r="H659">
        <v>3984.5</v>
      </c>
    </row>
    <row r="660" spans="1:8" x14ac:dyDescent="0.2">
      <c r="A660">
        <v>952</v>
      </c>
      <c r="B660">
        <v>39306</v>
      </c>
      <c r="C660" t="s">
        <v>571</v>
      </c>
      <c r="D660">
        <v>0</v>
      </c>
      <c r="E660" s="8">
        <v>149.78</v>
      </c>
      <c r="F660">
        <v>850</v>
      </c>
      <c r="G660">
        <v>992.3</v>
      </c>
      <c r="H660">
        <v>992.3</v>
      </c>
    </row>
    <row r="661" spans="1:8" x14ac:dyDescent="0.2">
      <c r="A661">
        <v>952</v>
      </c>
      <c r="B661">
        <v>39307</v>
      </c>
      <c r="C661" t="s">
        <v>491</v>
      </c>
      <c r="D661">
        <v>186.47</v>
      </c>
      <c r="E661" s="8">
        <v>1803.42</v>
      </c>
      <c r="F661">
        <v>5000</v>
      </c>
      <c r="G661">
        <v>5514.72</v>
      </c>
      <c r="H661">
        <v>5514.72</v>
      </c>
    </row>
    <row r="662" spans="1:8" x14ac:dyDescent="0.2">
      <c r="A662">
        <v>952</v>
      </c>
      <c r="B662">
        <v>39308</v>
      </c>
      <c r="C662" t="s">
        <v>544</v>
      </c>
      <c r="D662">
        <v>11.12</v>
      </c>
      <c r="E662" s="8">
        <v>1691.4</v>
      </c>
      <c r="F662">
        <v>600</v>
      </c>
      <c r="G662">
        <v>658.52</v>
      </c>
      <c r="H662">
        <v>658.52</v>
      </c>
    </row>
    <row r="663" spans="1:8" x14ac:dyDescent="0.2">
      <c r="A663">
        <v>952</v>
      </c>
      <c r="B663">
        <v>39309</v>
      </c>
      <c r="C663" t="s">
        <v>828</v>
      </c>
      <c r="D663">
        <v>1204.74</v>
      </c>
      <c r="E663" s="8">
        <v>6873.95</v>
      </c>
      <c r="F663">
        <v>7000</v>
      </c>
      <c r="G663">
        <v>6886.67</v>
      </c>
      <c r="H663">
        <v>6886.67</v>
      </c>
    </row>
    <row r="664" spans="1:8" x14ac:dyDescent="0.2">
      <c r="A664">
        <v>952</v>
      </c>
      <c r="B664">
        <v>39311</v>
      </c>
      <c r="C664" t="s">
        <v>572</v>
      </c>
      <c r="D664">
        <v>0</v>
      </c>
      <c r="E664" s="8">
        <v>0</v>
      </c>
      <c r="F664">
        <v>110</v>
      </c>
      <c r="G664">
        <v>0</v>
      </c>
      <c r="H664">
        <v>0</v>
      </c>
    </row>
    <row r="665" spans="1:8" x14ac:dyDescent="0.2">
      <c r="A665">
        <v>952</v>
      </c>
      <c r="B665">
        <v>39312</v>
      </c>
      <c r="C665" t="s">
        <v>1132</v>
      </c>
      <c r="D665">
        <v>0</v>
      </c>
      <c r="E665" s="8">
        <v>0</v>
      </c>
      <c r="F665">
        <v>0</v>
      </c>
      <c r="G665">
        <v>0</v>
      </c>
      <c r="H665">
        <v>0</v>
      </c>
    </row>
    <row r="666" spans="1:8" x14ac:dyDescent="0.2">
      <c r="A666">
        <v>952</v>
      </c>
      <c r="B666">
        <v>39313</v>
      </c>
      <c r="C666" t="s">
        <v>647</v>
      </c>
      <c r="D666">
        <v>30.32</v>
      </c>
      <c r="E666" s="8">
        <v>2239.29</v>
      </c>
      <c r="F666">
        <v>3000</v>
      </c>
      <c r="G666">
        <v>1586.24</v>
      </c>
      <c r="H666">
        <v>1586.24</v>
      </c>
    </row>
    <row r="667" spans="1:8" x14ac:dyDescent="0.2">
      <c r="A667">
        <v>952</v>
      </c>
      <c r="B667">
        <v>39314</v>
      </c>
      <c r="C667" t="s">
        <v>1146</v>
      </c>
      <c r="D667">
        <v>0</v>
      </c>
      <c r="E667" s="8">
        <v>259.99</v>
      </c>
      <c r="F667">
        <v>750</v>
      </c>
      <c r="G667">
        <v>456.86</v>
      </c>
      <c r="H667">
        <v>456.86</v>
      </c>
    </row>
    <row r="668" spans="1:8" x14ac:dyDescent="0.2">
      <c r="A668">
        <v>952</v>
      </c>
      <c r="B668">
        <v>39315</v>
      </c>
      <c r="C668" t="s">
        <v>1199</v>
      </c>
      <c r="D668">
        <v>0</v>
      </c>
      <c r="E668" s="8">
        <v>13.03</v>
      </c>
      <c r="F668">
        <v>200</v>
      </c>
      <c r="G668">
        <v>352.83</v>
      </c>
      <c r="H668">
        <v>352.83</v>
      </c>
    </row>
    <row r="669" spans="1:8" x14ac:dyDescent="0.2">
      <c r="A669">
        <v>952</v>
      </c>
      <c r="B669">
        <v>39330</v>
      </c>
      <c r="C669" t="s">
        <v>1147</v>
      </c>
      <c r="D669">
        <v>4238.9799999999996</v>
      </c>
      <c r="E669" s="8">
        <v>32212.93</v>
      </c>
      <c r="F669">
        <v>35530</v>
      </c>
      <c r="G669">
        <v>28170.080000000002</v>
      </c>
      <c r="H669">
        <v>28170.080000000002</v>
      </c>
    </row>
    <row r="670" spans="1:8" x14ac:dyDescent="0.2">
      <c r="A670">
        <v>952</v>
      </c>
      <c r="B670">
        <v>39331</v>
      </c>
      <c r="C670" t="s">
        <v>558</v>
      </c>
      <c r="D670">
        <v>0</v>
      </c>
      <c r="E670" s="8">
        <v>1659.2</v>
      </c>
      <c r="F670">
        <v>2000</v>
      </c>
      <c r="G670">
        <v>617.22</v>
      </c>
      <c r="H670">
        <v>617.22</v>
      </c>
    </row>
    <row r="671" spans="1:8" x14ac:dyDescent="0.2">
      <c r="A671">
        <v>952</v>
      </c>
      <c r="B671">
        <v>39332</v>
      </c>
      <c r="C671" t="s">
        <v>454</v>
      </c>
      <c r="D671">
        <v>119.04</v>
      </c>
      <c r="E671" s="8">
        <v>1936.41</v>
      </c>
      <c r="F671">
        <v>4000</v>
      </c>
      <c r="G671">
        <v>2667.09</v>
      </c>
      <c r="H671">
        <v>2667.09</v>
      </c>
    </row>
    <row r="672" spans="1:8" x14ac:dyDescent="0.2">
      <c r="A672">
        <v>952</v>
      </c>
      <c r="B672">
        <v>39333</v>
      </c>
      <c r="C672" t="s">
        <v>58</v>
      </c>
      <c r="D672">
        <v>81.569999999999993</v>
      </c>
      <c r="E672" s="8">
        <v>478.43</v>
      </c>
      <c r="F672">
        <v>800</v>
      </c>
      <c r="G672">
        <v>43.48</v>
      </c>
      <c r="H672">
        <v>43.48</v>
      </c>
    </row>
    <row r="673" spans="1:14" x14ac:dyDescent="0.2">
      <c r="A673">
        <v>952</v>
      </c>
      <c r="B673">
        <v>39334</v>
      </c>
      <c r="C673" t="s">
        <v>516</v>
      </c>
      <c r="D673">
        <v>762.95</v>
      </c>
      <c r="E673" s="8">
        <v>9219.15</v>
      </c>
      <c r="F673">
        <v>10000</v>
      </c>
      <c r="G673">
        <v>10277.48</v>
      </c>
      <c r="H673">
        <v>10277.48</v>
      </c>
    </row>
    <row r="674" spans="1:14" x14ac:dyDescent="0.2">
      <c r="A674">
        <v>952</v>
      </c>
      <c r="B674">
        <v>39335</v>
      </c>
      <c r="C674" t="s">
        <v>595</v>
      </c>
      <c r="D674">
        <v>0</v>
      </c>
      <c r="E674" s="8">
        <v>0</v>
      </c>
      <c r="F674">
        <v>0</v>
      </c>
      <c r="G674">
        <v>0</v>
      </c>
      <c r="H674">
        <v>0</v>
      </c>
    </row>
    <row r="675" spans="1:14" x14ac:dyDescent="0.2">
      <c r="A675">
        <v>952</v>
      </c>
      <c r="B675">
        <v>39336</v>
      </c>
      <c r="C675" t="s">
        <v>1148</v>
      </c>
      <c r="D675">
        <v>0</v>
      </c>
      <c r="E675" s="8">
        <v>0</v>
      </c>
      <c r="F675">
        <v>0</v>
      </c>
      <c r="G675">
        <v>0</v>
      </c>
      <c r="H675">
        <v>0</v>
      </c>
    </row>
    <row r="676" spans="1:14" x14ac:dyDescent="0.2">
      <c r="A676">
        <v>952</v>
      </c>
      <c r="B676">
        <v>39351</v>
      </c>
      <c r="C676" t="s">
        <v>499</v>
      </c>
      <c r="D676">
        <v>608.72</v>
      </c>
      <c r="E676" s="8">
        <v>788.16</v>
      </c>
      <c r="F676">
        <v>1000</v>
      </c>
      <c r="G676">
        <v>1026.18</v>
      </c>
      <c r="H676">
        <v>1026.18</v>
      </c>
    </row>
    <row r="677" spans="1:14" x14ac:dyDescent="0.2">
      <c r="A677">
        <v>952</v>
      </c>
      <c r="B677">
        <v>39352</v>
      </c>
      <c r="C677" t="s">
        <v>637</v>
      </c>
      <c r="D677">
        <v>847.51</v>
      </c>
      <c r="E677" s="8">
        <v>6910.87</v>
      </c>
      <c r="F677">
        <v>6800</v>
      </c>
      <c r="G677">
        <v>5690.15</v>
      </c>
      <c r="H677">
        <v>5690.15</v>
      </c>
    </row>
    <row r="678" spans="1:14" x14ac:dyDescent="0.2">
      <c r="A678">
        <v>952</v>
      </c>
      <c r="B678">
        <v>39353</v>
      </c>
      <c r="C678" t="s">
        <v>520</v>
      </c>
      <c r="D678">
        <v>0</v>
      </c>
      <c r="E678" s="8">
        <v>0</v>
      </c>
      <c r="F678">
        <v>0</v>
      </c>
      <c r="G678">
        <v>0</v>
      </c>
      <c r="H678">
        <v>0</v>
      </c>
    </row>
    <row r="679" spans="1:14" x14ac:dyDescent="0.2">
      <c r="A679">
        <v>952</v>
      </c>
      <c r="B679">
        <v>39354</v>
      </c>
      <c r="C679" t="s">
        <v>569</v>
      </c>
      <c r="D679">
        <v>0</v>
      </c>
      <c r="E679" s="8">
        <v>0</v>
      </c>
      <c r="F679">
        <v>0</v>
      </c>
      <c r="G679">
        <v>0</v>
      </c>
      <c r="H679">
        <v>0</v>
      </c>
    </row>
    <row r="680" spans="1:14" x14ac:dyDescent="0.2">
      <c r="A680">
        <v>952</v>
      </c>
      <c r="B680">
        <v>39355</v>
      </c>
      <c r="C680" t="s">
        <v>623</v>
      </c>
      <c r="D680">
        <v>16.399999999999999</v>
      </c>
      <c r="E680" s="8">
        <v>1600.57</v>
      </c>
      <c r="F680">
        <v>2650</v>
      </c>
      <c r="G680">
        <v>1732.94</v>
      </c>
      <c r="H680">
        <v>1732.94</v>
      </c>
    </row>
    <row r="681" spans="1:14" x14ac:dyDescent="0.2">
      <c r="A681">
        <v>952</v>
      </c>
      <c r="B681">
        <v>39356</v>
      </c>
      <c r="C681" t="s">
        <v>571</v>
      </c>
      <c r="D681">
        <v>0</v>
      </c>
      <c r="E681" s="8">
        <v>212.78</v>
      </c>
      <c r="F681">
        <v>500</v>
      </c>
      <c r="G681">
        <v>145.36000000000001</v>
      </c>
      <c r="H681">
        <v>145.36000000000001</v>
      </c>
    </row>
    <row r="682" spans="1:14" x14ac:dyDescent="0.2">
      <c r="A682">
        <v>952</v>
      </c>
      <c r="B682">
        <v>39357</v>
      </c>
      <c r="C682" t="s">
        <v>491</v>
      </c>
      <c r="D682">
        <v>69.5</v>
      </c>
      <c r="E682" s="8">
        <v>891.71</v>
      </c>
      <c r="F682">
        <v>2200</v>
      </c>
      <c r="G682">
        <v>3571.67</v>
      </c>
      <c r="H682">
        <v>3571.67</v>
      </c>
    </row>
    <row r="683" spans="1:14" x14ac:dyDescent="0.2">
      <c r="A683">
        <v>952</v>
      </c>
      <c r="B683">
        <v>39358</v>
      </c>
      <c r="C683" t="s">
        <v>544</v>
      </c>
      <c r="D683">
        <v>109.06</v>
      </c>
      <c r="E683" s="8">
        <v>1148.24</v>
      </c>
      <c r="F683">
        <v>1500</v>
      </c>
      <c r="G683">
        <v>1590.86</v>
      </c>
      <c r="H683">
        <v>1590.86</v>
      </c>
    </row>
    <row r="684" spans="1:14" x14ac:dyDescent="0.2">
      <c r="A684">
        <v>952</v>
      </c>
      <c r="B684">
        <v>39359</v>
      </c>
      <c r="C684" t="s">
        <v>828</v>
      </c>
      <c r="D684">
        <v>1100.46</v>
      </c>
      <c r="E684" s="8">
        <v>2811.17</v>
      </c>
      <c r="F684">
        <v>3000</v>
      </c>
      <c r="G684">
        <v>4097.68</v>
      </c>
      <c r="H684">
        <v>4097.68</v>
      </c>
    </row>
    <row r="685" spans="1:14" x14ac:dyDescent="0.2">
      <c r="A685">
        <v>952</v>
      </c>
      <c r="B685">
        <v>39360</v>
      </c>
      <c r="C685" t="s">
        <v>557</v>
      </c>
      <c r="D685">
        <v>0</v>
      </c>
      <c r="E685" s="8">
        <v>202.2</v>
      </c>
      <c r="F685">
        <v>150</v>
      </c>
      <c r="G685">
        <v>0</v>
      </c>
      <c r="H685">
        <v>0</v>
      </c>
    </row>
    <row r="686" spans="1:14" x14ac:dyDescent="0.2">
      <c r="A686">
        <v>952</v>
      </c>
      <c r="B686">
        <v>39361</v>
      </c>
      <c r="C686" t="s">
        <v>572</v>
      </c>
      <c r="D686">
        <v>0</v>
      </c>
      <c r="E686" s="8">
        <v>0</v>
      </c>
      <c r="F686">
        <v>100</v>
      </c>
      <c r="G686">
        <v>0</v>
      </c>
      <c r="H686">
        <v>0</v>
      </c>
    </row>
    <row r="687" spans="1:14" x14ac:dyDescent="0.2">
      <c r="A687">
        <v>952</v>
      </c>
      <c r="B687">
        <v>39363</v>
      </c>
      <c r="C687" t="s">
        <v>626</v>
      </c>
      <c r="D687">
        <v>130.35</v>
      </c>
      <c r="E687" s="8">
        <v>1691.64</v>
      </c>
      <c r="F687">
        <v>2000</v>
      </c>
      <c r="G687">
        <v>1577.01</v>
      </c>
      <c r="H687">
        <v>1577.01</v>
      </c>
      <c r="J687" s="8"/>
      <c r="K687" s="8"/>
      <c r="L687" s="8"/>
      <c r="M687" s="8"/>
      <c r="N687" s="8"/>
    </row>
    <row r="688" spans="1:14" x14ac:dyDescent="0.2">
      <c r="A688">
        <v>952</v>
      </c>
      <c r="B688">
        <v>39365</v>
      </c>
      <c r="C688" t="s">
        <v>1199</v>
      </c>
      <c r="D688">
        <v>0</v>
      </c>
      <c r="E688" s="8">
        <v>63.04</v>
      </c>
      <c r="F688">
        <v>200</v>
      </c>
      <c r="G688">
        <v>82.17</v>
      </c>
      <c r="H688">
        <v>82.17</v>
      </c>
    </row>
    <row r="689" spans="1:8" x14ac:dyDescent="0.2">
      <c r="A689">
        <v>952</v>
      </c>
      <c r="B689">
        <v>39380</v>
      </c>
      <c r="C689" t="s">
        <v>1149</v>
      </c>
      <c r="D689">
        <v>4572.55</v>
      </c>
      <c r="E689" s="8">
        <v>32061.69</v>
      </c>
      <c r="F689">
        <v>35921</v>
      </c>
      <c r="G689">
        <v>30865.38</v>
      </c>
      <c r="H689">
        <v>30865.38</v>
      </c>
    </row>
    <row r="690" spans="1:8" x14ac:dyDescent="0.2">
      <c r="A690">
        <v>952</v>
      </c>
      <c r="B690">
        <v>39381</v>
      </c>
      <c r="C690" t="s">
        <v>558</v>
      </c>
      <c r="D690">
        <v>0</v>
      </c>
      <c r="E690" s="8">
        <v>1200.42</v>
      </c>
      <c r="F690">
        <v>2500</v>
      </c>
      <c r="G690">
        <v>1004.17</v>
      </c>
      <c r="H690">
        <v>1004.17</v>
      </c>
    </row>
    <row r="691" spans="1:8" x14ac:dyDescent="0.2">
      <c r="A691">
        <v>952</v>
      </c>
      <c r="B691">
        <v>39382</v>
      </c>
      <c r="C691" t="s">
        <v>454</v>
      </c>
      <c r="D691">
        <v>0</v>
      </c>
      <c r="E691" s="8">
        <v>1189.17</v>
      </c>
      <c r="F691">
        <v>1500</v>
      </c>
      <c r="G691">
        <v>942.27</v>
      </c>
      <c r="H691">
        <v>942.27</v>
      </c>
    </row>
    <row r="692" spans="1:8" x14ac:dyDescent="0.2">
      <c r="A692">
        <v>952</v>
      </c>
      <c r="B692">
        <v>39383</v>
      </c>
      <c r="C692" t="s">
        <v>58</v>
      </c>
      <c r="D692">
        <v>0</v>
      </c>
      <c r="E692" s="8">
        <v>0</v>
      </c>
      <c r="F692">
        <v>0</v>
      </c>
      <c r="G692">
        <v>0</v>
      </c>
      <c r="H692">
        <v>0</v>
      </c>
    </row>
    <row r="693" spans="1:8" x14ac:dyDescent="0.2">
      <c r="A693">
        <v>952</v>
      </c>
      <c r="B693">
        <v>39384</v>
      </c>
      <c r="C693" t="s">
        <v>516</v>
      </c>
      <c r="D693">
        <v>269.99</v>
      </c>
      <c r="E693" s="8">
        <v>2096.31</v>
      </c>
      <c r="F693">
        <v>4000</v>
      </c>
      <c r="G693">
        <v>3207.79</v>
      </c>
      <c r="H693">
        <v>3207.79</v>
      </c>
    </row>
    <row r="694" spans="1:8" x14ac:dyDescent="0.2">
      <c r="A694">
        <v>952</v>
      </c>
      <c r="B694">
        <v>39385</v>
      </c>
      <c r="C694" t="s">
        <v>595</v>
      </c>
      <c r="D694">
        <v>0</v>
      </c>
      <c r="E694" s="8">
        <v>0</v>
      </c>
      <c r="F694">
        <v>0</v>
      </c>
      <c r="G694">
        <v>0</v>
      </c>
      <c r="H694">
        <v>0</v>
      </c>
    </row>
    <row r="695" spans="1:8" x14ac:dyDescent="0.2">
      <c r="A695" s="8">
        <v>952</v>
      </c>
      <c r="B695" s="8">
        <v>39386</v>
      </c>
      <c r="C695" s="8" t="s">
        <v>916</v>
      </c>
      <c r="D695" s="8">
        <v>0</v>
      </c>
      <c r="E695" s="8">
        <v>39.130000000000003</v>
      </c>
      <c r="F695" s="8">
        <v>0</v>
      </c>
      <c r="G695" s="8">
        <v>0</v>
      </c>
      <c r="H695" s="8">
        <v>0</v>
      </c>
    </row>
    <row r="696" spans="1:8" x14ac:dyDescent="0.2">
      <c r="A696">
        <v>952</v>
      </c>
      <c r="B696">
        <v>39400</v>
      </c>
      <c r="C696" t="s">
        <v>499</v>
      </c>
      <c r="D696">
        <v>163.04</v>
      </c>
      <c r="E696" s="8">
        <v>514.77</v>
      </c>
      <c r="F696">
        <v>600</v>
      </c>
      <c r="G696">
        <v>482.23</v>
      </c>
      <c r="H696">
        <v>482.23</v>
      </c>
    </row>
    <row r="697" spans="1:8" x14ac:dyDescent="0.2">
      <c r="A697">
        <v>952</v>
      </c>
      <c r="B697">
        <v>39405</v>
      </c>
      <c r="C697" t="s">
        <v>637</v>
      </c>
      <c r="D697">
        <v>685.81</v>
      </c>
      <c r="E697" s="8">
        <v>6314.7</v>
      </c>
      <c r="F697">
        <v>5500</v>
      </c>
      <c r="G697">
        <v>2899.87</v>
      </c>
      <c r="H697">
        <v>2899.87</v>
      </c>
    </row>
    <row r="698" spans="1:8" x14ac:dyDescent="0.2">
      <c r="A698">
        <v>952</v>
      </c>
      <c r="B698">
        <v>39410</v>
      </c>
      <c r="C698" t="s">
        <v>520</v>
      </c>
      <c r="D698">
        <v>0</v>
      </c>
      <c r="E698" s="8">
        <v>0</v>
      </c>
      <c r="F698">
        <v>0</v>
      </c>
      <c r="G698">
        <v>0</v>
      </c>
      <c r="H698">
        <v>0</v>
      </c>
    </row>
    <row r="699" spans="1:8" x14ac:dyDescent="0.2">
      <c r="A699">
        <v>952</v>
      </c>
      <c r="B699">
        <v>39415</v>
      </c>
      <c r="C699" t="s">
        <v>569</v>
      </c>
      <c r="D699">
        <v>0</v>
      </c>
      <c r="E699" s="8">
        <v>0</v>
      </c>
      <c r="F699">
        <v>0</v>
      </c>
      <c r="G699">
        <v>132.52000000000001</v>
      </c>
      <c r="H699">
        <v>132.52000000000001</v>
      </c>
    </row>
    <row r="700" spans="1:8" x14ac:dyDescent="0.2">
      <c r="A700">
        <v>952</v>
      </c>
      <c r="B700">
        <v>39420</v>
      </c>
      <c r="C700" t="s">
        <v>907</v>
      </c>
      <c r="D700">
        <v>0</v>
      </c>
      <c r="E700" s="8">
        <v>4182.79</v>
      </c>
      <c r="F700">
        <v>4359</v>
      </c>
      <c r="G700">
        <v>2173.92</v>
      </c>
      <c r="H700">
        <v>2173.92</v>
      </c>
    </row>
    <row r="701" spans="1:8" x14ac:dyDescent="0.2">
      <c r="A701">
        <v>952</v>
      </c>
      <c r="B701">
        <v>39425</v>
      </c>
      <c r="C701" t="s">
        <v>571</v>
      </c>
      <c r="D701">
        <v>0</v>
      </c>
      <c r="E701" s="8">
        <v>359.68</v>
      </c>
      <c r="F701">
        <v>350</v>
      </c>
      <c r="G701">
        <v>224.83</v>
      </c>
      <c r="H701">
        <v>224.83</v>
      </c>
    </row>
    <row r="702" spans="1:8" x14ac:dyDescent="0.2">
      <c r="A702">
        <v>952</v>
      </c>
      <c r="B702">
        <v>39430</v>
      </c>
      <c r="C702" t="s">
        <v>544</v>
      </c>
      <c r="D702">
        <v>4.3499999999999996</v>
      </c>
      <c r="E702" s="8">
        <v>330.7</v>
      </c>
      <c r="F702">
        <v>800</v>
      </c>
      <c r="G702">
        <v>665.43</v>
      </c>
      <c r="H702">
        <v>665.43</v>
      </c>
    </row>
    <row r="703" spans="1:8" x14ac:dyDescent="0.2">
      <c r="A703">
        <v>952</v>
      </c>
      <c r="B703">
        <v>39435</v>
      </c>
      <c r="C703" t="s">
        <v>828</v>
      </c>
      <c r="D703">
        <v>315.52</v>
      </c>
      <c r="E703" s="8">
        <v>1189.25</v>
      </c>
      <c r="F703">
        <v>1000</v>
      </c>
      <c r="G703">
        <v>838.04</v>
      </c>
      <c r="H703">
        <v>838.04</v>
      </c>
    </row>
    <row r="704" spans="1:8" x14ac:dyDescent="0.2">
      <c r="A704">
        <v>952</v>
      </c>
      <c r="B704">
        <v>39440</v>
      </c>
      <c r="C704" t="s">
        <v>557</v>
      </c>
      <c r="D704">
        <v>0</v>
      </c>
      <c r="E704" s="8">
        <v>110.91</v>
      </c>
      <c r="F704">
        <v>200</v>
      </c>
      <c r="G704">
        <v>282.61</v>
      </c>
      <c r="H704">
        <v>282.61</v>
      </c>
    </row>
    <row r="705" spans="1:12" x14ac:dyDescent="0.2">
      <c r="A705">
        <v>952</v>
      </c>
      <c r="B705">
        <v>39445</v>
      </c>
      <c r="C705" t="s">
        <v>491</v>
      </c>
      <c r="D705">
        <v>0</v>
      </c>
      <c r="E705" s="8">
        <v>0</v>
      </c>
      <c r="F705">
        <v>0</v>
      </c>
      <c r="G705">
        <v>0</v>
      </c>
      <c r="H705">
        <v>0</v>
      </c>
    </row>
    <row r="706" spans="1:12" x14ac:dyDescent="0.2">
      <c r="A706">
        <v>952</v>
      </c>
      <c r="B706">
        <v>39450</v>
      </c>
      <c r="C706" t="s">
        <v>572</v>
      </c>
      <c r="D706">
        <v>0</v>
      </c>
      <c r="E706" s="8">
        <v>0</v>
      </c>
      <c r="F706">
        <v>100</v>
      </c>
      <c r="G706">
        <v>0</v>
      </c>
      <c r="H706">
        <v>0</v>
      </c>
    </row>
    <row r="707" spans="1:12" x14ac:dyDescent="0.2">
      <c r="A707">
        <v>952</v>
      </c>
      <c r="B707">
        <v>39460</v>
      </c>
      <c r="C707" t="s">
        <v>1150</v>
      </c>
      <c r="D707">
        <v>4.78</v>
      </c>
      <c r="E707" s="8">
        <v>425.48</v>
      </c>
      <c r="F707">
        <v>1000</v>
      </c>
      <c r="G707">
        <v>1123.6500000000001</v>
      </c>
      <c r="H707">
        <v>1123.6500000000001</v>
      </c>
    </row>
    <row r="708" spans="1:12" x14ac:dyDescent="0.2">
      <c r="A708">
        <v>952</v>
      </c>
      <c r="B708">
        <v>39465</v>
      </c>
      <c r="C708" t="s">
        <v>491</v>
      </c>
      <c r="D708">
        <v>122.2</v>
      </c>
      <c r="E708" s="8">
        <v>1107</v>
      </c>
      <c r="F708">
        <v>2500</v>
      </c>
      <c r="G708">
        <v>3406.64</v>
      </c>
      <c r="H708">
        <v>3406.64</v>
      </c>
    </row>
    <row r="709" spans="1:12" x14ac:dyDescent="0.2">
      <c r="A709">
        <v>952</v>
      </c>
      <c r="B709">
        <v>39470</v>
      </c>
      <c r="C709" t="s">
        <v>1199</v>
      </c>
      <c r="D709">
        <v>0</v>
      </c>
      <c r="E709" s="8">
        <v>176.46</v>
      </c>
      <c r="F709">
        <v>200</v>
      </c>
      <c r="G709">
        <v>0</v>
      </c>
      <c r="H709">
        <v>0</v>
      </c>
    </row>
    <row r="710" spans="1:12" x14ac:dyDescent="0.2">
      <c r="A710">
        <v>952</v>
      </c>
      <c r="B710">
        <v>39500</v>
      </c>
      <c r="C710" t="s">
        <v>512</v>
      </c>
      <c r="D710">
        <v>2801.65</v>
      </c>
      <c r="E710" s="8">
        <v>22362.62</v>
      </c>
      <c r="F710">
        <v>23220</v>
      </c>
      <c r="G710">
        <v>21972.89</v>
      </c>
      <c r="H710">
        <v>21972.89</v>
      </c>
    </row>
    <row r="711" spans="1:12" x14ac:dyDescent="0.2">
      <c r="A711">
        <v>952</v>
      </c>
      <c r="B711">
        <v>39505</v>
      </c>
      <c r="C711" t="s">
        <v>558</v>
      </c>
      <c r="D711">
        <v>0</v>
      </c>
      <c r="E711" s="8">
        <v>80</v>
      </c>
      <c r="F711">
        <v>1000</v>
      </c>
      <c r="G711">
        <v>758.16</v>
      </c>
      <c r="H711">
        <v>758.16</v>
      </c>
    </row>
    <row r="712" spans="1:12" x14ac:dyDescent="0.2">
      <c r="A712">
        <v>952</v>
      </c>
      <c r="B712">
        <v>39510</v>
      </c>
      <c r="C712" t="s">
        <v>454</v>
      </c>
      <c r="D712">
        <v>1542.32</v>
      </c>
      <c r="E712" s="8">
        <v>5776.38</v>
      </c>
      <c r="F712">
        <v>5500</v>
      </c>
      <c r="G712">
        <v>6064.45</v>
      </c>
      <c r="H712">
        <v>6064.45</v>
      </c>
    </row>
    <row r="713" spans="1:12" x14ac:dyDescent="0.2">
      <c r="A713">
        <v>952</v>
      </c>
      <c r="B713">
        <v>39515</v>
      </c>
      <c r="C713" t="s">
        <v>58</v>
      </c>
      <c r="D713">
        <v>0</v>
      </c>
      <c r="E713" s="8">
        <v>0</v>
      </c>
      <c r="F713">
        <v>0</v>
      </c>
      <c r="G713">
        <v>0</v>
      </c>
      <c r="H713">
        <v>0</v>
      </c>
    </row>
    <row r="714" spans="1:12" x14ac:dyDescent="0.2">
      <c r="A714">
        <v>952</v>
      </c>
      <c r="B714">
        <v>39520</v>
      </c>
      <c r="C714" t="s">
        <v>516</v>
      </c>
      <c r="D714">
        <v>438.87</v>
      </c>
      <c r="E714" s="8">
        <v>3774.95</v>
      </c>
      <c r="F714">
        <v>4000</v>
      </c>
      <c r="G714">
        <v>3981.35</v>
      </c>
      <c r="H714">
        <v>3981.35</v>
      </c>
    </row>
    <row r="715" spans="1:12" x14ac:dyDescent="0.2">
      <c r="A715">
        <v>952</v>
      </c>
      <c r="B715">
        <v>39525</v>
      </c>
      <c r="C715" t="s">
        <v>595</v>
      </c>
      <c r="D715">
        <v>0</v>
      </c>
      <c r="E715" s="8">
        <v>0</v>
      </c>
      <c r="F715">
        <v>0</v>
      </c>
      <c r="G715">
        <v>0</v>
      </c>
      <c r="H715">
        <v>0</v>
      </c>
      <c r="L715" s="8"/>
    </row>
    <row r="716" spans="1:12" x14ac:dyDescent="0.2">
      <c r="A716">
        <v>952</v>
      </c>
      <c r="B716">
        <v>3999</v>
      </c>
      <c r="C716" t="s">
        <v>278</v>
      </c>
      <c r="D716">
        <v>0</v>
      </c>
      <c r="E716" s="8">
        <v>0</v>
      </c>
      <c r="F716">
        <v>0</v>
      </c>
      <c r="G716">
        <v>0</v>
      </c>
      <c r="H716">
        <v>0</v>
      </c>
      <c r="L716" s="8"/>
    </row>
    <row r="717" spans="1:12" x14ac:dyDescent="0.2">
      <c r="A717">
        <v>952</v>
      </c>
      <c r="B717">
        <v>46000</v>
      </c>
      <c r="C717" t="s">
        <v>1151</v>
      </c>
      <c r="D717">
        <v>2162</v>
      </c>
      <c r="E717" s="8">
        <v>25944</v>
      </c>
      <c r="F717">
        <v>27086</v>
      </c>
      <c r="G717">
        <v>25440</v>
      </c>
      <c r="H717">
        <v>25440</v>
      </c>
      <c r="L717" s="8"/>
    </row>
    <row r="718" spans="1:12" x14ac:dyDescent="0.2">
      <c r="A718">
        <v>952</v>
      </c>
      <c r="B718">
        <v>46040</v>
      </c>
      <c r="C718" t="s">
        <v>866</v>
      </c>
      <c r="D718">
        <v>0</v>
      </c>
      <c r="E718" s="8">
        <v>8720</v>
      </c>
      <c r="F718">
        <v>8720</v>
      </c>
      <c r="G718">
        <v>8592</v>
      </c>
      <c r="H718">
        <v>8592</v>
      </c>
      <c r="L718" s="8"/>
    </row>
    <row r="719" spans="1:12" x14ac:dyDescent="0.2">
      <c r="A719">
        <v>952</v>
      </c>
      <c r="B719">
        <v>46060</v>
      </c>
      <c r="C719" t="s">
        <v>192</v>
      </c>
      <c r="D719">
        <v>3799.47</v>
      </c>
      <c r="E719" s="8">
        <v>24948.89</v>
      </c>
      <c r="F719">
        <v>22253</v>
      </c>
      <c r="G719">
        <v>19061.150000000001</v>
      </c>
      <c r="H719">
        <v>19061.150000000001</v>
      </c>
      <c r="L719" s="8"/>
    </row>
    <row r="720" spans="1:12" x14ac:dyDescent="0.2">
      <c r="A720">
        <v>952</v>
      </c>
      <c r="B720">
        <v>46080</v>
      </c>
      <c r="C720" t="s">
        <v>193</v>
      </c>
      <c r="D720">
        <v>8040</v>
      </c>
      <c r="E720" s="8">
        <v>8040</v>
      </c>
      <c r="F720">
        <v>16480</v>
      </c>
      <c r="G720">
        <v>4010</v>
      </c>
      <c r="H720">
        <v>4010</v>
      </c>
      <c r="L720" s="8"/>
    </row>
    <row r="721" spans="1:14" x14ac:dyDescent="0.2">
      <c r="A721">
        <v>952</v>
      </c>
      <c r="B721">
        <v>46100</v>
      </c>
      <c r="C721" t="s">
        <v>194</v>
      </c>
      <c r="D721">
        <v>467.56</v>
      </c>
      <c r="E721" s="8">
        <v>9823.98</v>
      </c>
      <c r="F721">
        <v>8960</v>
      </c>
      <c r="G721">
        <v>13513.65</v>
      </c>
      <c r="H721">
        <v>13513.65</v>
      </c>
      <c r="L721" s="8"/>
    </row>
    <row r="722" spans="1:14" x14ac:dyDescent="0.2">
      <c r="A722">
        <v>952</v>
      </c>
      <c r="B722">
        <v>46160</v>
      </c>
      <c r="C722" t="s">
        <v>195</v>
      </c>
      <c r="D722">
        <v>0</v>
      </c>
      <c r="E722" s="8">
        <v>313.83</v>
      </c>
      <c r="F722">
        <v>500</v>
      </c>
      <c r="G722">
        <v>0</v>
      </c>
      <c r="H722">
        <v>0</v>
      </c>
      <c r="L722" s="8"/>
    </row>
    <row r="723" spans="1:14" x14ac:dyDescent="0.2">
      <c r="A723">
        <v>952</v>
      </c>
      <c r="B723">
        <v>46180</v>
      </c>
      <c r="C723" t="s">
        <v>196</v>
      </c>
      <c r="D723">
        <v>0</v>
      </c>
      <c r="E723" s="8">
        <v>2886.53</v>
      </c>
      <c r="F723">
        <v>1500</v>
      </c>
      <c r="G723">
        <v>534.78</v>
      </c>
      <c r="H723">
        <v>534.78</v>
      </c>
      <c r="L723" s="8"/>
    </row>
    <row r="724" spans="1:14" x14ac:dyDescent="0.2">
      <c r="A724">
        <v>952</v>
      </c>
      <c r="B724">
        <v>46190</v>
      </c>
      <c r="C724" t="s">
        <v>197</v>
      </c>
      <c r="D724">
        <v>2338.14</v>
      </c>
      <c r="E724" s="8">
        <v>21900.33</v>
      </c>
      <c r="F724">
        <v>26000</v>
      </c>
      <c r="G724">
        <v>30132.89</v>
      </c>
      <c r="H724">
        <v>30132.89</v>
      </c>
      <c r="L724" s="8"/>
    </row>
    <row r="725" spans="1:14" x14ac:dyDescent="0.2">
      <c r="A725">
        <v>952</v>
      </c>
      <c r="B725">
        <v>46220</v>
      </c>
      <c r="C725" t="s">
        <v>542</v>
      </c>
      <c r="D725">
        <v>191.72</v>
      </c>
      <c r="E725" s="8">
        <v>2308.83</v>
      </c>
      <c r="F725">
        <v>2500</v>
      </c>
      <c r="G725">
        <v>2229.0300000000002</v>
      </c>
      <c r="H725">
        <v>2229.0300000000002</v>
      </c>
      <c r="L725" s="8"/>
    </row>
    <row r="726" spans="1:14" x14ac:dyDescent="0.2">
      <c r="A726">
        <v>952</v>
      </c>
      <c r="B726">
        <v>46240</v>
      </c>
      <c r="C726" t="s">
        <v>499</v>
      </c>
      <c r="D726">
        <v>568.24</v>
      </c>
      <c r="E726" s="8">
        <v>4689.1899999999996</v>
      </c>
      <c r="F726">
        <v>4600</v>
      </c>
      <c r="G726">
        <v>4585.6499999999996</v>
      </c>
      <c r="H726">
        <v>4585.6499999999996</v>
      </c>
      <c r="L726" s="8"/>
    </row>
    <row r="727" spans="1:14" x14ac:dyDescent="0.2">
      <c r="A727">
        <v>952</v>
      </c>
      <c r="B727">
        <v>46260</v>
      </c>
      <c r="C727" t="s">
        <v>481</v>
      </c>
      <c r="D727">
        <v>2639.65</v>
      </c>
      <c r="E727" s="8">
        <v>13952.87</v>
      </c>
      <c r="F727">
        <v>7000</v>
      </c>
      <c r="G727">
        <v>12291.92</v>
      </c>
      <c r="H727">
        <v>12291.92</v>
      </c>
      <c r="L727" s="8"/>
    </row>
    <row r="728" spans="1:14" x14ac:dyDescent="0.2">
      <c r="A728">
        <v>952</v>
      </c>
      <c r="B728">
        <v>46300</v>
      </c>
      <c r="C728" t="s">
        <v>1152</v>
      </c>
      <c r="D728">
        <v>80</v>
      </c>
      <c r="E728" s="8">
        <v>1646.37</v>
      </c>
      <c r="F728">
        <v>5000</v>
      </c>
      <c r="G728">
        <v>4508.3900000000003</v>
      </c>
      <c r="H728">
        <v>4508.3900000000003</v>
      </c>
      <c r="L728" s="8"/>
    </row>
    <row r="729" spans="1:14" x14ac:dyDescent="0.2">
      <c r="A729">
        <v>952</v>
      </c>
      <c r="B729">
        <v>46320</v>
      </c>
      <c r="C729" t="s">
        <v>1153</v>
      </c>
      <c r="D729">
        <v>678.31</v>
      </c>
      <c r="E729" s="8">
        <v>7963.1</v>
      </c>
      <c r="F729">
        <v>6000</v>
      </c>
      <c r="G729">
        <v>5649.79</v>
      </c>
      <c r="H729">
        <v>5649.79</v>
      </c>
      <c r="L729" s="8"/>
    </row>
    <row r="730" spans="1:14" x14ac:dyDescent="0.2">
      <c r="A730">
        <v>952</v>
      </c>
      <c r="B730">
        <v>46360</v>
      </c>
      <c r="C730" t="s">
        <v>491</v>
      </c>
      <c r="D730">
        <v>320.52</v>
      </c>
      <c r="E730" s="8">
        <v>-1381.31</v>
      </c>
      <c r="F730">
        <v>4500</v>
      </c>
      <c r="G730">
        <v>4755.45</v>
      </c>
      <c r="H730">
        <v>4755.45</v>
      </c>
      <c r="L730" s="8"/>
    </row>
    <row r="731" spans="1:14" x14ac:dyDescent="0.2">
      <c r="A731">
        <v>952</v>
      </c>
      <c r="B731">
        <v>46380</v>
      </c>
      <c r="C731" t="s">
        <v>1154</v>
      </c>
      <c r="D731">
        <v>0</v>
      </c>
      <c r="E731" s="8">
        <v>0</v>
      </c>
      <c r="F731">
        <v>350</v>
      </c>
      <c r="G731">
        <v>122.5</v>
      </c>
      <c r="H731">
        <v>122.5</v>
      </c>
      <c r="L731" s="8"/>
    </row>
    <row r="732" spans="1:14" x14ac:dyDescent="0.2">
      <c r="A732">
        <v>952</v>
      </c>
      <c r="B732">
        <v>46400</v>
      </c>
      <c r="C732" t="s">
        <v>1155</v>
      </c>
      <c r="D732">
        <v>989</v>
      </c>
      <c r="E732" s="8">
        <v>3693.85</v>
      </c>
      <c r="F732">
        <v>4000</v>
      </c>
      <c r="G732">
        <v>4906.99</v>
      </c>
      <c r="H732">
        <v>4906.99</v>
      </c>
      <c r="L732" s="8"/>
    </row>
    <row r="733" spans="1:14" x14ac:dyDescent="0.2">
      <c r="A733">
        <v>952</v>
      </c>
      <c r="B733">
        <v>46401</v>
      </c>
      <c r="C733" t="s">
        <v>557</v>
      </c>
      <c r="D733">
        <v>0</v>
      </c>
      <c r="E733" s="8">
        <v>334.86</v>
      </c>
      <c r="F733">
        <v>500</v>
      </c>
      <c r="G733">
        <v>353.22</v>
      </c>
      <c r="H733">
        <v>353.22</v>
      </c>
      <c r="L733" s="8"/>
    </row>
    <row r="734" spans="1:14" x14ac:dyDescent="0.2">
      <c r="A734">
        <v>952</v>
      </c>
      <c r="B734">
        <v>46520</v>
      </c>
      <c r="C734" t="s">
        <v>1156</v>
      </c>
      <c r="D734">
        <v>-12.5</v>
      </c>
      <c r="E734" s="8">
        <v>7.92</v>
      </c>
      <c r="F734">
        <v>200</v>
      </c>
      <c r="G734">
        <v>106</v>
      </c>
      <c r="H734">
        <v>106</v>
      </c>
      <c r="L734" s="8"/>
    </row>
    <row r="735" spans="1:14" x14ac:dyDescent="0.2">
      <c r="A735">
        <v>952</v>
      </c>
      <c r="B735">
        <v>46560</v>
      </c>
      <c r="C735" t="s">
        <v>1153</v>
      </c>
      <c r="D735">
        <v>0</v>
      </c>
      <c r="E735" s="8">
        <v>0</v>
      </c>
      <c r="F735">
        <v>0</v>
      </c>
      <c r="G735">
        <v>0</v>
      </c>
      <c r="H735">
        <v>0</v>
      </c>
      <c r="J735" s="8"/>
      <c r="K735" s="8"/>
      <c r="L735" s="8"/>
      <c r="M735" s="8"/>
      <c r="N735" s="8"/>
    </row>
    <row r="736" spans="1:14" x14ac:dyDescent="0.2">
      <c r="A736">
        <v>952</v>
      </c>
      <c r="B736">
        <v>46570</v>
      </c>
      <c r="C736" t="s">
        <v>1157</v>
      </c>
      <c r="D736">
        <v>0</v>
      </c>
      <c r="E736" s="8">
        <v>0</v>
      </c>
      <c r="F736">
        <v>0</v>
      </c>
      <c r="G736">
        <v>0</v>
      </c>
      <c r="H736">
        <v>0</v>
      </c>
      <c r="J736" s="8"/>
      <c r="K736" s="8"/>
      <c r="L736" s="8"/>
      <c r="M736" s="8"/>
      <c r="N736" s="8"/>
    </row>
    <row r="737" spans="1:15" x14ac:dyDescent="0.2">
      <c r="A737">
        <v>952</v>
      </c>
      <c r="B737">
        <v>46575</v>
      </c>
      <c r="C737" t="s">
        <v>1158</v>
      </c>
      <c r="D737">
        <v>0</v>
      </c>
      <c r="E737" s="8">
        <v>0</v>
      </c>
      <c r="F737">
        <v>0</v>
      </c>
      <c r="G737">
        <v>0</v>
      </c>
      <c r="H737">
        <v>0</v>
      </c>
    </row>
    <row r="738" spans="1:15" x14ac:dyDescent="0.2">
      <c r="A738">
        <v>952</v>
      </c>
      <c r="B738">
        <v>46580</v>
      </c>
      <c r="C738" t="s">
        <v>1159</v>
      </c>
      <c r="D738">
        <v>0</v>
      </c>
      <c r="E738" s="8">
        <v>350</v>
      </c>
      <c r="F738">
        <v>4500</v>
      </c>
      <c r="G738">
        <v>4427.03</v>
      </c>
      <c r="H738">
        <v>4427.03</v>
      </c>
    </row>
    <row r="739" spans="1:15" x14ac:dyDescent="0.2">
      <c r="A739">
        <v>952</v>
      </c>
      <c r="B739">
        <v>46640</v>
      </c>
      <c r="C739" t="s">
        <v>1160</v>
      </c>
      <c r="D739">
        <v>2560.88</v>
      </c>
      <c r="E739" s="8">
        <v>24711.8</v>
      </c>
      <c r="F739">
        <v>17800</v>
      </c>
      <c r="G739">
        <v>17990.27</v>
      </c>
      <c r="H739">
        <v>17990.27</v>
      </c>
      <c r="J739" s="8"/>
      <c r="K739" s="8"/>
      <c r="L739" s="8"/>
      <c r="M739" s="8"/>
      <c r="N739" s="8"/>
      <c r="O739" s="8"/>
    </row>
    <row r="740" spans="1:15" x14ac:dyDescent="0.2">
      <c r="A740">
        <v>952</v>
      </c>
      <c r="B740">
        <v>46644</v>
      </c>
      <c r="C740" t="s">
        <v>1161</v>
      </c>
      <c r="D740">
        <v>39172.32</v>
      </c>
      <c r="E740" s="8">
        <v>227349.7</v>
      </c>
      <c r="F740">
        <v>239610</v>
      </c>
      <c r="G740">
        <v>203003.95</v>
      </c>
      <c r="H740">
        <v>203003.95</v>
      </c>
      <c r="J740" s="8"/>
      <c r="K740" s="8"/>
      <c r="L740" s="8"/>
      <c r="M740" s="8"/>
      <c r="N740" s="8"/>
      <c r="O740" s="8"/>
    </row>
    <row r="741" spans="1:15" x14ac:dyDescent="0.2">
      <c r="A741">
        <v>952</v>
      </c>
      <c r="B741">
        <v>46645</v>
      </c>
      <c r="C741" t="s">
        <v>1162</v>
      </c>
      <c r="D741">
        <v>0</v>
      </c>
      <c r="E741" s="8">
        <v>436</v>
      </c>
      <c r="F741">
        <v>3000</v>
      </c>
      <c r="G741">
        <v>0</v>
      </c>
      <c r="H741">
        <v>0</v>
      </c>
      <c r="J741" s="8"/>
      <c r="K741" s="8"/>
      <c r="L741" s="8"/>
      <c r="M741" s="8"/>
      <c r="N741" s="8"/>
      <c r="O741" s="8"/>
    </row>
    <row r="742" spans="1:15" x14ac:dyDescent="0.2">
      <c r="A742">
        <v>952</v>
      </c>
      <c r="B742">
        <v>46650</v>
      </c>
      <c r="C742" t="s">
        <v>1163</v>
      </c>
      <c r="D742">
        <v>0</v>
      </c>
      <c r="E742" s="8">
        <v>0</v>
      </c>
      <c r="F742">
        <v>0</v>
      </c>
      <c r="G742">
        <v>0</v>
      </c>
      <c r="H742">
        <v>0</v>
      </c>
      <c r="J742" s="8"/>
      <c r="K742" s="8"/>
      <c r="L742" s="8"/>
      <c r="M742" s="8"/>
      <c r="N742" s="8"/>
      <c r="O742" s="8"/>
    </row>
    <row r="743" spans="1:15" x14ac:dyDescent="0.2">
      <c r="A743">
        <v>952</v>
      </c>
      <c r="B743">
        <v>46655</v>
      </c>
      <c r="C743" t="s">
        <v>1164</v>
      </c>
      <c r="D743">
        <v>65</v>
      </c>
      <c r="E743" s="8">
        <v>2218.63</v>
      </c>
      <c r="F743">
        <v>5470</v>
      </c>
      <c r="G743">
        <v>3546.9</v>
      </c>
      <c r="H743">
        <v>3546.9</v>
      </c>
      <c r="J743" s="8"/>
      <c r="K743" s="8"/>
      <c r="L743" s="8"/>
      <c r="M743" s="8"/>
      <c r="N743" s="8"/>
      <c r="O743" s="8"/>
    </row>
    <row r="744" spans="1:15" x14ac:dyDescent="0.2">
      <c r="A744">
        <v>952</v>
      </c>
      <c r="B744">
        <v>46657</v>
      </c>
      <c r="C744" t="s">
        <v>1165</v>
      </c>
      <c r="D744">
        <v>0</v>
      </c>
      <c r="E744" s="8">
        <v>21491.25</v>
      </c>
      <c r="F744">
        <v>36500</v>
      </c>
      <c r="G744">
        <v>0</v>
      </c>
      <c r="H744">
        <v>0</v>
      </c>
      <c r="J744" s="8"/>
      <c r="K744" s="8"/>
      <c r="L744" s="8"/>
      <c r="M744" s="8"/>
      <c r="N744" s="8"/>
      <c r="O744" s="8"/>
    </row>
    <row r="745" spans="1:15" x14ac:dyDescent="0.2">
      <c r="A745" s="8">
        <v>952</v>
      </c>
      <c r="B745" s="8">
        <v>46658</v>
      </c>
      <c r="C745" s="8" t="s">
        <v>1322</v>
      </c>
      <c r="D745" s="8">
        <v>0</v>
      </c>
      <c r="E745" s="8">
        <v>0</v>
      </c>
      <c r="F745" s="8">
        <v>0</v>
      </c>
      <c r="G745" s="8">
        <v>0</v>
      </c>
      <c r="H745" s="8">
        <v>0</v>
      </c>
      <c r="J745" s="8"/>
      <c r="K745" s="8"/>
      <c r="L745" s="8"/>
      <c r="M745" s="8"/>
      <c r="N745" s="8"/>
      <c r="O745" s="8"/>
    </row>
    <row r="746" spans="1:15" x14ac:dyDescent="0.2">
      <c r="A746" s="8">
        <v>952</v>
      </c>
      <c r="B746" s="8">
        <v>46660</v>
      </c>
      <c r="C746" s="8" t="s">
        <v>1166</v>
      </c>
      <c r="D746" s="8">
        <v>0</v>
      </c>
      <c r="E746" s="8">
        <v>0</v>
      </c>
      <c r="F746" s="8">
        <v>0</v>
      </c>
      <c r="G746" s="8">
        <v>0</v>
      </c>
      <c r="H746" s="8">
        <v>0</v>
      </c>
      <c r="J746" s="8"/>
      <c r="K746" s="8"/>
      <c r="L746" s="8"/>
      <c r="M746" s="8"/>
      <c r="N746" s="8"/>
      <c r="O746" s="8"/>
    </row>
    <row r="747" spans="1:15" x14ac:dyDescent="0.2">
      <c r="A747">
        <v>952</v>
      </c>
      <c r="B747">
        <v>46665</v>
      </c>
      <c r="C747" t="s">
        <v>1167</v>
      </c>
      <c r="D747">
        <v>0</v>
      </c>
      <c r="E747" s="8">
        <v>0</v>
      </c>
      <c r="F747">
        <v>1500</v>
      </c>
      <c r="G747">
        <v>91.83</v>
      </c>
      <c r="H747">
        <v>91.83</v>
      </c>
      <c r="J747" s="8"/>
      <c r="K747" s="8"/>
      <c r="L747" s="8"/>
      <c r="M747" s="8"/>
      <c r="N747" s="8"/>
      <c r="O747" s="8"/>
    </row>
    <row r="748" spans="1:15" x14ac:dyDescent="0.2">
      <c r="A748">
        <v>952</v>
      </c>
      <c r="B748">
        <v>46670</v>
      </c>
      <c r="C748" t="s">
        <v>1168</v>
      </c>
      <c r="D748">
        <v>0</v>
      </c>
      <c r="E748" s="8">
        <v>1632.85</v>
      </c>
      <c r="F748">
        <v>700</v>
      </c>
      <c r="G748">
        <v>344</v>
      </c>
      <c r="H748">
        <v>344</v>
      </c>
      <c r="J748" s="8"/>
      <c r="K748" s="8"/>
      <c r="L748" s="8"/>
      <c r="M748" s="8"/>
      <c r="N748" s="8"/>
      <c r="O748" s="8"/>
    </row>
    <row r="749" spans="1:15" x14ac:dyDescent="0.2">
      <c r="A749">
        <v>952</v>
      </c>
      <c r="B749">
        <v>46675</v>
      </c>
      <c r="C749" t="s">
        <v>1169</v>
      </c>
      <c r="D749">
        <v>434.78</v>
      </c>
      <c r="E749" s="8">
        <v>50884.65</v>
      </c>
      <c r="F749">
        <v>66000</v>
      </c>
      <c r="G749">
        <v>34491.730000000003</v>
      </c>
      <c r="H749">
        <v>34491.730000000003</v>
      </c>
      <c r="J749" s="8"/>
      <c r="K749" s="8"/>
      <c r="L749" s="8"/>
      <c r="M749" s="8"/>
      <c r="N749" s="8"/>
      <c r="O749" s="8"/>
    </row>
    <row r="750" spans="1:15" x14ac:dyDescent="0.2">
      <c r="A750">
        <v>952</v>
      </c>
      <c r="B750">
        <v>46680</v>
      </c>
      <c r="C750" t="s">
        <v>1170</v>
      </c>
      <c r="D750">
        <v>0</v>
      </c>
      <c r="E750" s="8">
        <v>0</v>
      </c>
      <c r="F750">
        <v>10000</v>
      </c>
      <c r="G750">
        <v>9593.8700000000008</v>
      </c>
      <c r="H750">
        <v>9593.8700000000008</v>
      </c>
      <c r="J750" s="8"/>
      <c r="K750" s="8"/>
      <c r="L750" s="8"/>
      <c r="M750" s="8"/>
      <c r="N750" s="8"/>
      <c r="O750" s="8"/>
    </row>
    <row r="751" spans="1:15" x14ac:dyDescent="0.2">
      <c r="A751">
        <v>952</v>
      </c>
      <c r="B751">
        <v>46685</v>
      </c>
      <c r="C751" t="s">
        <v>1171</v>
      </c>
      <c r="D751">
        <v>0</v>
      </c>
      <c r="E751" s="8">
        <v>1768.64</v>
      </c>
      <c r="F751">
        <v>5000</v>
      </c>
      <c r="G751">
        <v>2646.92</v>
      </c>
      <c r="H751">
        <v>2646.92</v>
      </c>
      <c r="J751" s="8"/>
      <c r="K751" s="8"/>
      <c r="L751" s="8"/>
      <c r="M751" s="8"/>
      <c r="N751" s="8"/>
      <c r="O751" s="8"/>
    </row>
    <row r="752" spans="1:15" x14ac:dyDescent="0.2">
      <c r="A752">
        <v>952</v>
      </c>
      <c r="B752">
        <v>46690</v>
      </c>
      <c r="C752" t="s">
        <v>1172</v>
      </c>
      <c r="D752">
        <v>141.71</v>
      </c>
      <c r="E752" s="8">
        <v>2821.25</v>
      </c>
      <c r="F752">
        <v>5000</v>
      </c>
      <c r="G752">
        <v>3077.21</v>
      </c>
      <c r="H752">
        <v>3077.21</v>
      </c>
      <c r="J752" s="8"/>
      <c r="K752" s="8"/>
      <c r="L752" s="8"/>
      <c r="M752" s="8"/>
      <c r="N752" s="8"/>
      <c r="O752" s="8"/>
    </row>
    <row r="753" spans="1:17" x14ac:dyDescent="0.2">
      <c r="A753">
        <v>952</v>
      </c>
      <c r="B753">
        <v>46760</v>
      </c>
      <c r="C753" t="s">
        <v>1173</v>
      </c>
      <c r="D753">
        <v>0</v>
      </c>
      <c r="E753" s="8">
        <v>1064</v>
      </c>
      <c r="F753">
        <v>0</v>
      </c>
      <c r="G753">
        <v>1100</v>
      </c>
      <c r="H753">
        <v>1100</v>
      </c>
      <c r="J753" s="8"/>
      <c r="K753" s="8"/>
      <c r="L753" s="8"/>
      <c r="M753" s="8"/>
      <c r="N753" s="8"/>
      <c r="O753" s="8"/>
    </row>
    <row r="754" spans="1:17" x14ac:dyDescent="0.2">
      <c r="A754">
        <v>952</v>
      </c>
      <c r="B754">
        <v>46765</v>
      </c>
      <c r="C754" t="s">
        <v>827</v>
      </c>
      <c r="D754">
        <v>0</v>
      </c>
      <c r="E754" s="8">
        <v>198.63</v>
      </c>
      <c r="F754">
        <v>750</v>
      </c>
      <c r="G754">
        <v>788.98</v>
      </c>
      <c r="H754">
        <v>788.98</v>
      </c>
      <c r="J754" s="8"/>
      <c r="K754" s="8"/>
      <c r="L754" s="8"/>
      <c r="M754" s="8"/>
      <c r="N754" s="8"/>
      <c r="O754" s="8"/>
    </row>
    <row r="755" spans="1:17" x14ac:dyDescent="0.2">
      <c r="A755">
        <v>952</v>
      </c>
      <c r="B755">
        <v>46770</v>
      </c>
      <c r="C755" t="s">
        <v>516</v>
      </c>
      <c r="D755">
        <v>22.73</v>
      </c>
      <c r="E755" s="8">
        <v>113.98</v>
      </c>
      <c r="F755">
        <v>300</v>
      </c>
      <c r="G755">
        <v>131.61000000000001</v>
      </c>
      <c r="H755">
        <v>131.61000000000001</v>
      </c>
    </row>
    <row r="756" spans="1:17" x14ac:dyDescent="0.2">
      <c r="A756">
        <v>952</v>
      </c>
      <c r="B756">
        <v>46775</v>
      </c>
      <c r="C756" t="s">
        <v>1174</v>
      </c>
      <c r="D756">
        <v>0</v>
      </c>
      <c r="E756" s="8">
        <v>0</v>
      </c>
      <c r="F756">
        <v>250</v>
      </c>
      <c r="G756">
        <v>137.09</v>
      </c>
      <c r="H756">
        <v>137.09</v>
      </c>
    </row>
    <row r="757" spans="1:17" x14ac:dyDescent="0.2">
      <c r="A757">
        <v>952</v>
      </c>
      <c r="B757">
        <v>46780</v>
      </c>
      <c r="C757" t="s">
        <v>934</v>
      </c>
      <c r="D757">
        <v>0</v>
      </c>
      <c r="E757" s="8">
        <v>122.63</v>
      </c>
      <c r="F757">
        <v>250</v>
      </c>
      <c r="G757">
        <v>306.55</v>
      </c>
      <c r="H757">
        <v>306.55</v>
      </c>
    </row>
    <row r="758" spans="1:17" s="8" customFormat="1" x14ac:dyDescent="0.2">
      <c r="A758" s="8">
        <v>952</v>
      </c>
      <c r="B758" s="8">
        <v>46785</v>
      </c>
      <c r="C758" s="8" t="s">
        <v>1206</v>
      </c>
      <c r="D758" s="8">
        <v>7073.66</v>
      </c>
      <c r="E758" s="8">
        <v>12644.78</v>
      </c>
      <c r="F758" s="8">
        <v>108500</v>
      </c>
      <c r="G758" s="8">
        <v>0</v>
      </c>
      <c r="H758" s="8">
        <v>0</v>
      </c>
    </row>
    <row r="759" spans="1:17" x14ac:dyDescent="0.2">
      <c r="A759">
        <v>952</v>
      </c>
      <c r="B759">
        <v>46800</v>
      </c>
      <c r="C759" t="s">
        <v>1175</v>
      </c>
      <c r="D759">
        <v>0</v>
      </c>
      <c r="E759" s="8">
        <v>3634.95</v>
      </c>
      <c r="F759">
        <v>5500</v>
      </c>
      <c r="G759">
        <v>813.04</v>
      </c>
      <c r="H759">
        <v>813.04</v>
      </c>
    </row>
    <row r="760" spans="1:17" x14ac:dyDescent="0.2">
      <c r="A760">
        <v>952</v>
      </c>
      <c r="B760">
        <v>46820</v>
      </c>
      <c r="C760" t="s">
        <v>1176</v>
      </c>
      <c r="D760">
        <v>0</v>
      </c>
      <c r="E760" s="8">
        <v>0</v>
      </c>
      <c r="F760">
        <v>500</v>
      </c>
      <c r="G760">
        <v>0</v>
      </c>
      <c r="H760">
        <v>0</v>
      </c>
    </row>
    <row r="761" spans="1:17" x14ac:dyDescent="0.2">
      <c r="A761">
        <v>952</v>
      </c>
      <c r="B761">
        <v>46860</v>
      </c>
      <c r="C761" t="s">
        <v>1177</v>
      </c>
      <c r="D761">
        <v>33644.32</v>
      </c>
      <c r="E761" s="8">
        <v>214167.1</v>
      </c>
      <c r="F761">
        <v>213908</v>
      </c>
      <c r="G761">
        <v>207155.17</v>
      </c>
      <c r="H761">
        <v>207155.17</v>
      </c>
      <c r="I761" s="8"/>
      <c r="J761" s="8"/>
      <c r="K761" s="8"/>
      <c r="L761" s="8"/>
      <c r="M761" s="8"/>
      <c r="N761" s="8"/>
      <c r="O761" s="8"/>
      <c r="P761" s="8"/>
      <c r="Q761" s="8"/>
    </row>
    <row r="762" spans="1:17" x14ac:dyDescent="0.2">
      <c r="A762">
        <v>952</v>
      </c>
      <c r="B762">
        <v>46861</v>
      </c>
      <c r="C762" t="s">
        <v>1207</v>
      </c>
      <c r="D762">
        <v>0</v>
      </c>
      <c r="E762" s="8">
        <v>0</v>
      </c>
      <c r="F762">
        <v>0</v>
      </c>
      <c r="G762">
        <v>7855.54</v>
      </c>
      <c r="H762">
        <v>7855.54</v>
      </c>
      <c r="I762" s="8"/>
      <c r="J762" s="8"/>
      <c r="K762" s="8"/>
      <c r="L762" s="8"/>
      <c r="M762" s="8"/>
      <c r="N762" s="8"/>
      <c r="O762" s="8"/>
      <c r="P762" s="8"/>
      <c r="Q762" s="8"/>
    </row>
    <row r="763" spans="1:17" x14ac:dyDescent="0.2">
      <c r="A763">
        <v>952</v>
      </c>
      <c r="B763">
        <v>46880</v>
      </c>
      <c r="C763" t="s">
        <v>1178</v>
      </c>
      <c r="D763">
        <v>0</v>
      </c>
      <c r="E763" s="8">
        <v>1087.5899999999999</v>
      </c>
      <c r="F763">
        <v>3000</v>
      </c>
      <c r="G763">
        <v>310</v>
      </c>
      <c r="H763">
        <v>310</v>
      </c>
      <c r="I763" s="8"/>
      <c r="J763" s="8"/>
      <c r="K763" s="8"/>
      <c r="L763" s="8"/>
      <c r="M763" s="8"/>
      <c r="N763" s="8"/>
      <c r="O763" s="8"/>
      <c r="P763" s="8"/>
      <c r="Q763" s="8"/>
    </row>
    <row r="764" spans="1:17" x14ac:dyDescent="0.2">
      <c r="A764">
        <v>952</v>
      </c>
      <c r="B764">
        <v>46885</v>
      </c>
      <c r="C764" t="s">
        <v>1179</v>
      </c>
      <c r="D764">
        <v>0</v>
      </c>
      <c r="E764" s="8">
        <v>800.79</v>
      </c>
      <c r="F764">
        <v>0</v>
      </c>
      <c r="G764">
        <v>64111.77</v>
      </c>
      <c r="H764">
        <v>64111.77</v>
      </c>
      <c r="I764" s="8"/>
      <c r="J764" s="8"/>
      <c r="K764" s="8"/>
      <c r="L764" s="8"/>
      <c r="M764" s="8"/>
      <c r="N764" s="8"/>
      <c r="O764" s="8"/>
      <c r="P764" s="8"/>
      <c r="Q764" s="8"/>
    </row>
    <row r="765" spans="1:17" x14ac:dyDescent="0.2">
      <c r="A765">
        <v>952</v>
      </c>
      <c r="B765">
        <v>46886</v>
      </c>
      <c r="C765" t="s">
        <v>1180</v>
      </c>
      <c r="D765">
        <v>135</v>
      </c>
      <c r="E765" s="8">
        <v>3652.5</v>
      </c>
      <c r="F765">
        <v>3000</v>
      </c>
      <c r="G765">
        <v>3040</v>
      </c>
      <c r="H765">
        <v>3040</v>
      </c>
      <c r="I765" s="8"/>
      <c r="J765" s="8"/>
      <c r="K765" s="8"/>
      <c r="L765" s="8"/>
      <c r="M765" s="8"/>
      <c r="N765" s="8"/>
      <c r="O765" s="8"/>
      <c r="P765" s="8"/>
      <c r="Q765" s="8"/>
    </row>
    <row r="766" spans="1:17" x14ac:dyDescent="0.2">
      <c r="A766">
        <v>952</v>
      </c>
      <c r="B766">
        <v>46888</v>
      </c>
      <c r="C766" t="s">
        <v>234</v>
      </c>
      <c r="D766">
        <v>1414.47</v>
      </c>
      <c r="E766" s="8">
        <v>7799.42</v>
      </c>
      <c r="F766">
        <v>15000</v>
      </c>
      <c r="G766">
        <v>6171.83</v>
      </c>
      <c r="H766">
        <v>6171.83</v>
      </c>
      <c r="I766" s="8"/>
      <c r="J766" s="8"/>
      <c r="K766" s="8"/>
      <c r="L766" s="8"/>
      <c r="M766" s="8"/>
      <c r="N766" s="8"/>
      <c r="O766" s="8"/>
      <c r="P766" s="8"/>
      <c r="Q766" s="8"/>
    </row>
    <row r="767" spans="1:17" x14ac:dyDescent="0.2">
      <c r="A767">
        <v>952</v>
      </c>
      <c r="B767">
        <v>46950</v>
      </c>
      <c r="C767" t="s">
        <v>1181</v>
      </c>
      <c r="D767">
        <v>0</v>
      </c>
      <c r="E767" s="8">
        <v>0</v>
      </c>
      <c r="F767">
        <v>450</v>
      </c>
      <c r="G767">
        <v>0</v>
      </c>
      <c r="H767">
        <v>0</v>
      </c>
      <c r="I767" s="8"/>
      <c r="J767" s="8"/>
      <c r="K767" s="8"/>
      <c r="L767" s="8"/>
      <c r="M767" s="8"/>
      <c r="N767" s="8"/>
      <c r="O767" s="8"/>
      <c r="P767" s="8"/>
      <c r="Q767" s="8"/>
    </row>
    <row r="768" spans="1:17" x14ac:dyDescent="0.2">
      <c r="A768">
        <v>952</v>
      </c>
      <c r="B768">
        <v>57000</v>
      </c>
      <c r="C768" t="s">
        <v>1182</v>
      </c>
      <c r="D768">
        <v>-557.69000000000005</v>
      </c>
      <c r="E768" s="8">
        <v>11628.85</v>
      </c>
      <c r="F768">
        <v>13500</v>
      </c>
      <c r="G768">
        <v>11674.44</v>
      </c>
      <c r="H768">
        <v>11674.44</v>
      </c>
      <c r="I768" s="8"/>
      <c r="J768" s="8"/>
      <c r="K768" s="8"/>
      <c r="L768" s="8"/>
      <c r="M768" s="8"/>
      <c r="N768" s="8"/>
      <c r="O768" s="8"/>
      <c r="P768" s="8"/>
      <c r="Q768" s="8"/>
    </row>
    <row r="769" spans="1:17" x14ac:dyDescent="0.2">
      <c r="A769">
        <v>952</v>
      </c>
      <c r="B769">
        <v>57120</v>
      </c>
      <c r="C769" t="s">
        <v>1183</v>
      </c>
      <c r="D769">
        <v>1581.79</v>
      </c>
      <c r="E769" s="8">
        <v>11156.81</v>
      </c>
      <c r="F769">
        <v>11000</v>
      </c>
      <c r="G769">
        <v>11309.82</v>
      </c>
      <c r="H769">
        <v>11309.82</v>
      </c>
      <c r="I769" s="8"/>
      <c r="J769" s="8"/>
      <c r="K769" s="8"/>
      <c r="L769" s="8"/>
      <c r="M769" s="8"/>
      <c r="N769" s="8"/>
      <c r="O769" s="8"/>
      <c r="P769" s="8"/>
      <c r="Q769" s="8"/>
    </row>
    <row r="770" spans="1:17" x14ac:dyDescent="0.2">
      <c r="A770">
        <v>952</v>
      </c>
      <c r="B770">
        <v>57130</v>
      </c>
      <c r="C770" t="s">
        <v>1184</v>
      </c>
      <c r="D770">
        <v>0</v>
      </c>
      <c r="E770" s="8">
        <v>0</v>
      </c>
      <c r="F770">
        <v>0</v>
      </c>
      <c r="G770">
        <v>0</v>
      </c>
      <c r="H770">
        <v>0</v>
      </c>
      <c r="I770" s="8"/>
      <c r="J770" s="8"/>
      <c r="K770" s="8"/>
      <c r="L770" s="8"/>
      <c r="M770" s="8"/>
      <c r="N770" s="8"/>
      <c r="O770" s="8"/>
      <c r="P770" s="8"/>
      <c r="Q770" s="8"/>
    </row>
    <row r="771" spans="1:17" x14ac:dyDescent="0.2">
      <c r="A771">
        <v>952</v>
      </c>
      <c r="B771">
        <v>57140</v>
      </c>
      <c r="C771" t="s">
        <v>671</v>
      </c>
      <c r="D771">
        <v>0</v>
      </c>
      <c r="E771" s="8">
        <v>0</v>
      </c>
      <c r="F771">
        <v>0</v>
      </c>
      <c r="G771">
        <v>0</v>
      </c>
      <c r="H771">
        <v>0</v>
      </c>
      <c r="I771" s="8"/>
      <c r="J771" s="8"/>
      <c r="K771" s="8"/>
      <c r="L771" s="8"/>
      <c r="M771" s="8"/>
      <c r="N771" s="8"/>
      <c r="O771" s="8"/>
      <c r="P771" s="8"/>
      <c r="Q771" s="8"/>
    </row>
    <row r="772" spans="1:17" x14ac:dyDescent="0.2">
      <c r="A772">
        <v>952</v>
      </c>
      <c r="B772">
        <v>57200</v>
      </c>
      <c r="C772" t="s">
        <v>672</v>
      </c>
      <c r="D772">
        <v>1291.4100000000001</v>
      </c>
      <c r="E772" s="8">
        <v>8614.42</v>
      </c>
      <c r="F772">
        <v>4000</v>
      </c>
      <c r="G772">
        <v>3983.62</v>
      </c>
      <c r="H772">
        <v>3983.62</v>
      </c>
      <c r="I772" s="8"/>
      <c r="J772" s="8"/>
      <c r="K772" s="8"/>
      <c r="L772" s="8"/>
      <c r="M772" s="8"/>
      <c r="N772" s="8"/>
      <c r="O772" s="8"/>
      <c r="P772" s="8"/>
      <c r="Q772" s="8"/>
    </row>
    <row r="773" spans="1:17" x14ac:dyDescent="0.2">
      <c r="A773">
        <v>952</v>
      </c>
      <c r="B773">
        <v>57260</v>
      </c>
      <c r="C773" t="s">
        <v>673</v>
      </c>
      <c r="D773">
        <v>790.51</v>
      </c>
      <c r="E773" s="8">
        <v>10322.219999999999</v>
      </c>
      <c r="F773">
        <v>8000</v>
      </c>
      <c r="G773">
        <v>21460.79</v>
      </c>
      <c r="H773">
        <v>21460.79</v>
      </c>
      <c r="I773" s="8"/>
      <c r="J773" s="8"/>
      <c r="K773" s="8"/>
      <c r="L773" s="8"/>
      <c r="M773" s="8"/>
      <c r="N773" s="8"/>
      <c r="O773" s="8"/>
      <c r="P773" s="8"/>
      <c r="Q773" s="8"/>
    </row>
    <row r="774" spans="1:17" x14ac:dyDescent="0.2">
      <c r="A774">
        <v>952</v>
      </c>
      <c r="B774">
        <v>57270</v>
      </c>
      <c r="C774" t="s">
        <v>516</v>
      </c>
      <c r="D774">
        <v>225.9</v>
      </c>
      <c r="E774" s="8">
        <v>2074.54</v>
      </c>
      <c r="F774">
        <v>2200</v>
      </c>
      <c r="G774">
        <v>2674.65</v>
      </c>
      <c r="H774">
        <v>2674.65</v>
      </c>
      <c r="I774" s="8"/>
      <c r="J774" s="8"/>
      <c r="K774" s="8"/>
      <c r="L774" s="8"/>
      <c r="M774" s="8"/>
      <c r="N774" s="8"/>
      <c r="O774" s="8"/>
      <c r="P774" s="8"/>
      <c r="Q774" s="8"/>
    </row>
    <row r="775" spans="1:17" x14ac:dyDescent="0.2">
      <c r="A775">
        <v>952</v>
      </c>
      <c r="B775">
        <v>57299</v>
      </c>
      <c r="C775" t="s">
        <v>674</v>
      </c>
      <c r="D775">
        <v>237.72</v>
      </c>
      <c r="E775" s="8">
        <v>2962.76</v>
      </c>
      <c r="F775">
        <v>3500</v>
      </c>
      <c r="G775">
        <v>5862.69</v>
      </c>
      <c r="H775">
        <v>5862.69</v>
      </c>
      <c r="I775" s="8"/>
      <c r="J775" s="8"/>
      <c r="K775" s="8"/>
      <c r="L775" s="8"/>
      <c r="M775" s="8"/>
      <c r="N775" s="8"/>
      <c r="O775" s="8"/>
      <c r="P775" s="8"/>
      <c r="Q775" s="8"/>
    </row>
    <row r="776" spans="1:17" x14ac:dyDescent="0.2">
      <c r="A776">
        <v>952</v>
      </c>
      <c r="B776">
        <v>57320</v>
      </c>
      <c r="C776" t="s">
        <v>675</v>
      </c>
      <c r="D776">
        <v>4181.8900000000003</v>
      </c>
      <c r="E776" s="8">
        <v>36444.660000000003</v>
      </c>
      <c r="F776">
        <v>52000</v>
      </c>
      <c r="G776">
        <v>47590.36</v>
      </c>
      <c r="H776">
        <v>47590.36</v>
      </c>
      <c r="I776" s="8"/>
      <c r="J776" s="8"/>
      <c r="K776" s="8"/>
      <c r="L776" s="8"/>
      <c r="M776" s="8"/>
      <c r="N776" s="8"/>
      <c r="O776" s="8"/>
      <c r="P776" s="8"/>
      <c r="Q776" s="8"/>
    </row>
    <row r="777" spans="1:17" x14ac:dyDescent="0.2">
      <c r="A777">
        <v>952</v>
      </c>
      <c r="B777">
        <v>57340</v>
      </c>
      <c r="C777" t="s">
        <v>676</v>
      </c>
      <c r="D777">
        <v>4746.78</v>
      </c>
      <c r="E777" s="8">
        <v>67858.92</v>
      </c>
      <c r="F777">
        <v>62000</v>
      </c>
      <c r="G777">
        <v>67150.02</v>
      </c>
      <c r="H777">
        <v>67150.02</v>
      </c>
      <c r="I777" s="8"/>
      <c r="J777" s="8"/>
      <c r="K777" s="8"/>
      <c r="L777" s="8"/>
      <c r="M777" s="8"/>
      <c r="N777" s="8"/>
      <c r="O777" s="8"/>
      <c r="P777" s="8"/>
      <c r="Q777" s="8"/>
    </row>
    <row r="778" spans="1:17" x14ac:dyDescent="0.2">
      <c r="A778">
        <v>952</v>
      </c>
      <c r="B778">
        <v>57360</v>
      </c>
      <c r="C778" t="s">
        <v>677</v>
      </c>
      <c r="D778">
        <v>0</v>
      </c>
      <c r="E778" s="8">
        <v>37410.07</v>
      </c>
      <c r="F778">
        <v>30000</v>
      </c>
      <c r="G778">
        <v>34765.14</v>
      </c>
      <c r="H778">
        <v>34765.14</v>
      </c>
      <c r="I778" s="8"/>
      <c r="J778" s="8"/>
      <c r="K778" s="8"/>
      <c r="L778" s="8"/>
      <c r="M778" s="8"/>
      <c r="N778" s="8"/>
      <c r="O778" s="8"/>
      <c r="P778" s="8"/>
      <c r="Q778" s="8"/>
    </row>
    <row r="779" spans="1:17" x14ac:dyDescent="0.2">
      <c r="A779">
        <v>952</v>
      </c>
      <c r="B779">
        <v>57420</v>
      </c>
      <c r="C779" t="s">
        <v>678</v>
      </c>
      <c r="D779">
        <v>22495.42</v>
      </c>
      <c r="E779" s="8">
        <v>190696.26</v>
      </c>
      <c r="F779">
        <v>197268</v>
      </c>
      <c r="G779">
        <v>195065.24</v>
      </c>
      <c r="H779">
        <v>195065.24</v>
      </c>
      <c r="I779" s="8"/>
      <c r="J779" s="8"/>
      <c r="K779" s="8"/>
      <c r="L779" s="8"/>
      <c r="M779" s="8"/>
      <c r="N779" s="8"/>
      <c r="O779" s="8"/>
      <c r="P779" s="8"/>
      <c r="Q779" s="8"/>
    </row>
    <row r="780" spans="1:17" x14ac:dyDescent="0.2">
      <c r="A780">
        <v>952</v>
      </c>
      <c r="B780">
        <v>57485</v>
      </c>
      <c r="C780" t="s">
        <v>679</v>
      </c>
      <c r="D780">
        <v>0</v>
      </c>
      <c r="E780" s="8">
        <v>538</v>
      </c>
      <c r="F780">
        <v>750</v>
      </c>
      <c r="G780">
        <v>620</v>
      </c>
      <c r="H780">
        <v>620</v>
      </c>
      <c r="I780" s="8"/>
      <c r="J780" s="8"/>
      <c r="K780" s="8"/>
      <c r="L780" s="8"/>
      <c r="M780" s="8"/>
      <c r="N780" s="8"/>
      <c r="O780" s="8"/>
      <c r="P780" s="8"/>
      <c r="Q780" s="8"/>
    </row>
    <row r="781" spans="1:17" x14ac:dyDescent="0.2">
      <c r="A781">
        <v>952</v>
      </c>
      <c r="B781">
        <v>57487</v>
      </c>
      <c r="C781" t="s">
        <v>680</v>
      </c>
      <c r="D781">
        <v>0</v>
      </c>
      <c r="E781" s="8">
        <v>59.91</v>
      </c>
      <c r="F781">
        <v>400</v>
      </c>
      <c r="G781">
        <v>0</v>
      </c>
      <c r="H781">
        <v>0</v>
      </c>
      <c r="I781" s="8"/>
      <c r="J781" s="8"/>
      <c r="K781" s="8"/>
      <c r="L781" s="8"/>
      <c r="M781" s="8"/>
      <c r="N781" s="8"/>
      <c r="O781" s="8"/>
      <c r="P781" s="8"/>
      <c r="Q781" s="8"/>
    </row>
    <row r="782" spans="1:17" x14ac:dyDescent="0.2">
      <c r="A782">
        <v>952</v>
      </c>
      <c r="B782">
        <v>57600</v>
      </c>
      <c r="C782" t="s">
        <v>681</v>
      </c>
      <c r="D782">
        <v>0</v>
      </c>
      <c r="E782" s="8">
        <v>5707.49</v>
      </c>
      <c r="F782">
        <v>12000</v>
      </c>
      <c r="G782">
        <v>15700.72</v>
      </c>
      <c r="H782">
        <v>15700.72</v>
      </c>
      <c r="I782" s="8"/>
      <c r="J782" s="8"/>
      <c r="K782" s="8"/>
      <c r="L782" s="8"/>
      <c r="M782" s="8"/>
      <c r="N782" s="8"/>
      <c r="O782" s="8"/>
      <c r="P782" s="8"/>
      <c r="Q782" s="8"/>
    </row>
    <row r="783" spans="1:17" x14ac:dyDescent="0.2">
      <c r="A783">
        <v>952</v>
      </c>
      <c r="B783">
        <v>57605</v>
      </c>
      <c r="C783" t="s">
        <v>198</v>
      </c>
      <c r="D783">
        <v>3566.49</v>
      </c>
      <c r="E783" s="8">
        <v>9284.08</v>
      </c>
      <c r="F783">
        <v>8000</v>
      </c>
      <c r="G783">
        <v>8682.25</v>
      </c>
      <c r="H783">
        <v>8682.25</v>
      </c>
      <c r="I783" s="8"/>
      <c r="J783" s="8"/>
      <c r="K783" s="8"/>
      <c r="L783" s="8"/>
      <c r="M783" s="8"/>
      <c r="N783" s="8"/>
      <c r="O783" s="8"/>
      <c r="P783" s="8"/>
      <c r="Q783" s="8"/>
    </row>
    <row r="784" spans="1:17" x14ac:dyDescent="0.2">
      <c r="A784">
        <v>952</v>
      </c>
      <c r="B784">
        <v>57610</v>
      </c>
      <c r="C784" t="s">
        <v>476</v>
      </c>
      <c r="D784">
        <v>15316</v>
      </c>
      <c r="E784" s="8">
        <v>22811</v>
      </c>
      <c r="F784">
        <v>8994</v>
      </c>
      <c r="G784">
        <v>15811</v>
      </c>
      <c r="H784">
        <v>15811</v>
      </c>
      <c r="I784" s="8"/>
      <c r="J784" s="8"/>
      <c r="K784" s="8"/>
      <c r="L784" s="8"/>
      <c r="M784" s="8"/>
      <c r="N784" s="8"/>
      <c r="O784" s="8"/>
      <c r="P784" s="8"/>
      <c r="Q784" s="8"/>
    </row>
    <row r="785" spans="1:17" x14ac:dyDescent="0.2">
      <c r="A785">
        <v>952</v>
      </c>
      <c r="B785">
        <v>57620</v>
      </c>
      <c r="C785" t="s">
        <v>682</v>
      </c>
      <c r="D785">
        <v>0</v>
      </c>
      <c r="E785" s="8">
        <v>0</v>
      </c>
      <c r="F785">
        <v>0</v>
      </c>
      <c r="G785">
        <v>0</v>
      </c>
      <c r="H785">
        <v>0</v>
      </c>
      <c r="I785" s="8"/>
      <c r="J785" s="8"/>
      <c r="K785" s="8"/>
      <c r="L785" s="8"/>
      <c r="M785" s="8"/>
      <c r="N785" s="8"/>
      <c r="O785" s="8"/>
      <c r="P785" s="8"/>
      <c r="Q785" s="8"/>
    </row>
    <row r="786" spans="1:17" x14ac:dyDescent="0.2">
      <c r="A786">
        <v>952</v>
      </c>
      <c r="B786">
        <v>57630</v>
      </c>
      <c r="C786" t="s">
        <v>828</v>
      </c>
      <c r="D786">
        <v>0</v>
      </c>
      <c r="E786" s="8">
        <v>3515.86</v>
      </c>
      <c r="F786">
        <v>3500</v>
      </c>
      <c r="G786">
        <v>4884.57</v>
      </c>
      <c r="H786">
        <v>4884.57</v>
      </c>
      <c r="I786" s="8"/>
      <c r="J786" s="8"/>
      <c r="K786" s="8"/>
      <c r="L786" s="8"/>
      <c r="M786" s="8"/>
      <c r="N786" s="8"/>
      <c r="O786" s="8"/>
      <c r="P786" s="8"/>
      <c r="Q786" s="8"/>
    </row>
    <row r="787" spans="1:17" x14ac:dyDescent="0.2">
      <c r="A787">
        <v>952</v>
      </c>
      <c r="B787">
        <v>57660</v>
      </c>
      <c r="C787" t="s">
        <v>683</v>
      </c>
      <c r="D787">
        <v>4745.5200000000004</v>
      </c>
      <c r="E787" s="8">
        <v>37154.11</v>
      </c>
      <c r="F787">
        <v>20000</v>
      </c>
      <c r="G787">
        <v>33145.86</v>
      </c>
      <c r="H787">
        <v>33145.86</v>
      </c>
      <c r="I787" s="8"/>
      <c r="J787" s="8"/>
      <c r="K787" s="8"/>
      <c r="L787" s="8"/>
      <c r="M787" s="8"/>
      <c r="N787" s="8"/>
      <c r="O787" s="8"/>
      <c r="P787" s="8"/>
      <c r="Q787" s="8"/>
    </row>
    <row r="788" spans="1:17" x14ac:dyDescent="0.2">
      <c r="A788" s="8">
        <v>952</v>
      </c>
      <c r="B788" s="8">
        <v>57665</v>
      </c>
      <c r="C788" s="8" t="s">
        <v>1323</v>
      </c>
      <c r="D788" s="8">
        <v>0</v>
      </c>
      <c r="E788" s="8">
        <v>0</v>
      </c>
      <c r="F788" s="8">
        <v>0</v>
      </c>
      <c r="G788" s="8">
        <v>0</v>
      </c>
      <c r="H788" s="8">
        <v>0</v>
      </c>
      <c r="I788" s="8"/>
      <c r="J788" s="8"/>
      <c r="K788" s="8"/>
      <c r="L788" s="8"/>
      <c r="M788" s="8"/>
      <c r="N788" s="8"/>
      <c r="O788" s="8"/>
      <c r="P788" s="8"/>
      <c r="Q788" s="8"/>
    </row>
    <row r="789" spans="1:17" x14ac:dyDescent="0.2">
      <c r="A789">
        <v>952</v>
      </c>
      <c r="B789">
        <v>57690</v>
      </c>
      <c r="C789" t="s">
        <v>1208</v>
      </c>
      <c r="D789">
        <v>0</v>
      </c>
      <c r="E789" s="8">
        <v>1891.12</v>
      </c>
      <c r="F789">
        <v>1900</v>
      </c>
      <c r="G789">
        <v>0</v>
      </c>
      <c r="H789">
        <v>0</v>
      </c>
      <c r="I789" s="8"/>
      <c r="J789" s="8"/>
      <c r="K789" s="8"/>
      <c r="L789" s="8"/>
      <c r="M789" s="8"/>
      <c r="N789" s="8"/>
      <c r="O789" s="8"/>
      <c r="P789" s="8"/>
      <c r="Q789" s="8"/>
    </row>
    <row r="790" spans="1:17" x14ac:dyDescent="0.2">
      <c r="A790">
        <v>952</v>
      </c>
      <c r="B790">
        <v>57710</v>
      </c>
      <c r="C790" t="s">
        <v>684</v>
      </c>
      <c r="D790">
        <v>42.32</v>
      </c>
      <c r="E790" s="8">
        <v>1386.07</v>
      </c>
      <c r="F790">
        <v>2000</v>
      </c>
      <c r="G790">
        <v>4154.5</v>
      </c>
      <c r="H790">
        <v>4154.5</v>
      </c>
      <c r="I790" s="8"/>
      <c r="J790" s="8"/>
      <c r="K790" s="8"/>
      <c r="L790" s="8"/>
      <c r="M790" s="8"/>
      <c r="N790" s="8"/>
      <c r="O790" s="8"/>
      <c r="P790" s="8"/>
      <c r="Q790" s="8"/>
    </row>
    <row r="791" spans="1:17" x14ac:dyDescent="0.2">
      <c r="A791">
        <v>952</v>
      </c>
      <c r="B791">
        <v>57740</v>
      </c>
      <c r="C791" t="s">
        <v>1092</v>
      </c>
      <c r="D791">
        <v>1194</v>
      </c>
      <c r="E791" s="8">
        <v>7979</v>
      </c>
      <c r="F791">
        <v>8000</v>
      </c>
      <c r="G791">
        <v>8966</v>
      </c>
      <c r="H791">
        <v>8966</v>
      </c>
      <c r="I791" s="8"/>
      <c r="J791" s="8"/>
      <c r="K791" s="8"/>
      <c r="L791" s="8"/>
      <c r="M791" s="8"/>
      <c r="N791" s="8"/>
      <c r="O791" s="8"/>
      <c r="P791" s="8"/>
      <c r="Q791" s="8"/>
    </row>
    <row r="792" spans="1:17" x14ac:dyDescent="0.2">
      <c r="A792">
        <v>952</v>
      </c>
      <c r="B792">
        <v>57760</v>
      </c>
      <c r="C792" t="s">
        <v>685</v>
      </c>
      <c r="D792">
        <v>0</v>
      </c>
      <c r="E792" s="8">
        <v>0</v>
      </c>
      <c r="F792">
        <v>0</v>
      </c>
      <c r="G792">
        <v>0</v>
      </c>
      <c r="H792">
        <v>0</v>
      </c>
      <c r="I792" s="8"/>
      <c r="J792" s="8"/>
      <c r="K792" s="8"/>
      <c r="L792" s="8"/>
      <c r="M792" s="8"/>
      <c r="N792" s="8"/>
      <c r="O792" s="8"/>
      <c r="P792" s="8"/>
      <c r="Q792" s="8"/>
    </row>
    <row r="793" spans="1:17" x14ac:dyDescent="0.2">
      <c r="A793">
        <v>952</v>
      </c>
      <c r="B793">
        <v>57850</v>
      </c>
      <c r="C793" t="s">
        <v>686</v>
      </c>
      <c r="D793">
        <v>0</v>
      </c>
      <c r="E793" s="8">
        <v>0</v>
      </c>
      <c r="F793">
        <v>0</v>
      </c>
      <c r="G793">
        <v>0</v>
      </c>
      <c r="H793">
        <v>0</v>
      </c>
    </row>
    <row r="794" spans="1:17" x14ac:dyDescent="0.2">
      <c r="A794">
        <v>952</v>
      </c>
      <c r="B794">
        <v>58000</v>
      </c>
      <c r="C794" t="s">
        <v>539</v>
      </c>
      <c r="D794">
        <v>639.08000000000004</v>
      </c>
      <c r="E794" s="8">
        <v>3215.6</v>
      </c>
      <c r="F794">
        <v>2500</v>
      </c>
      <c r="G794">
        <v>2749.96</v>
      </c>
      <c r="H794">
        <v>2749.96</v>
      </c>
    </row>
    <row r="795" spans="1:17" x14ac:dyDescent="0.2">
      <c r="A795">
        <v>952</v>
      </c>
      <c r="B795">
        <v>58020</v>
      </c>
      <c r="C795" t="s">
        <v>1080</v>
      </c>
      <c r="D795">
        <v>35.61</v>
      </c>
      <c r="E795" s="8">
        <v>7441.38</v>
      </c>
      <c r="F795">
        <v>8000</v>
      </c>
      <c r="G795">
        <v>7340.63</v>
      </c>
      <c r="H795">
        <v>7340.63</v>
      </c>
    </row>
    <row r="796" spans="1:17" x14ac:dyDescent="0.2">
      <c r="A796">
        <v>952</v>
      </c>
      <c r="B796">
        <v>60000</v>
      </c>
      <c r="C796" t="s">
        <v>687</v>
      </c>
      <c r="D796">
        <v>88642.03</v>
      </c>
      <c r="E796" s="8">
        <v>582916.18999999994</v>
      </c>
      <c r="F796">
        <v>646374</v>
      </c>
      <c r="G796">
        <v>560718.11</v>
      </c>
      <c r="H796">
        <v>560718.11</v>
      </c>
    </row>
    <row r="797" spans="1:17" x14ac:dyDescent="0.2">
      <c r="A797">
        <v>952</v>
      </c>
      <c r="B797">
        <v>60100</v>
      </c>
      <c r="C797" t="s">
        <v>688</v>
      </c>
      <c r="D797">
        <v>0</v>
      </c>
      <c r="E797" s="8">
        <v>0</v>
      </c>
      <c r="F797">
        <v>0</v>
      </c>
      <c r="G797">
        <v>0</v>
      </c>
      <c r="H797">
        <v>0</v>
      </c>
    </row>
    <row r="798" spans="1:17" x14ac:dyDescent="0.2">
      <c r="A798">
        <v>952</v>
      </c>
      <c r="B798">
        <v>60200</v>
      </c>
      <c r="C798" t="s">
        <v>199</v>
      </c>
      <c r="D798">
        <v>365.22</v>
      </c>
      <c r="E798" s="8">
        <v>13012.1</v>
      </c>
      <c r="F798">
        <v>50000</v>
      </c>
      <c r="G798">
        <v>12778.34</v>
      </c>
      <c r="H798">
        <v>12778.34</v>
      </c>
    </row>
    <row r="799" spans="1:17" x14ac:dyDescent="0.2">
      <c r="A799" s="8">
        <v>952</v>
      </c>
      <c r="B799" s="8">
        <v>60210</v>
      </c>
      <c r="C799" s="8" t="s">
        <v>1324</v>
      </c>
      <c r="D799" s="8">
        <v>0</v>
      </c>
      <c r="E799" s="8">
        <v>0</v>
      </c>
      <c r="F799" s="8">
        <v>0</v>
      </c>
      <c r="G799" s="8">
        <v>0</v>
      </c>
      <c r="H799" s="8">
        <v>0</v>
      </c>
    </row>
    <row r="800" spans="1:17" x14ac:dyDescent="0.2">
      <c r="A800">
        <v>952</v>
      </c>
      <c r="B800">
        <v>60220</v>
      </c>
      <c r="C800" t="s">
        <v>200</v>
      </c>
      <c r="D800">
        <v>0</v>
      </c>
      <c r="E800" s="8">
        <v>0</v>
      </c>
      <c r="F800">
        <v>0</v>
      </c>
      <c r="G800">
        <v>0</v>
      </c>
      <c r="H800">
        <v>0</v>
      </c>
    </row>
    <row r="801" spans="1:14" x14ac:dyDescent="0.2">
      <c r="A801">
        <v>952</v>
      </c>
      <c r="B801">
        <v>60230</v>
      </c>
      <c r="C801" t="s">
        <v>689</v>
      </c>
      <c r="D801">
        <v>0</v>
      </c>
      <c r="E801" s="8">
        <v>0</v>
      </c>
      <c r="F801">
        <v>0</v>
      </c>
      <c r="G801">
        <v>0</v>
      </c>
      <c r="H801">
        <v>0</v>
      </c>
    </row>
    <row r="802" spans="1:14" x14ac:dyDescent="0.2">
      <c r="A802">
        <v>952</v>
      </c>
      <c r="B802">
        <v>60250</v>
      </c>
      <c r="C802" t="s">
        <v>690</v>
      </c>
      <c r="D802">
        <v>4214.1400000000003</v>
      </c>
      <c r="E802" s="8">
        <v>32481.68</v>
      </c>
      <c r="F802">
        <v>35618</v>
      </c>
      <c r="G802">
        <v>33043.49</v>
      </c>
      <c r="H802">
        <v>33043.49</v>
      </c>
    </row>
    <row r="803" spans="1:14" x14ac:dyDescent="0.2">
      <c r="A803">
        <v>952</v>
      </c>
      <c r="B803">
        <v>60300</v>
      </c>
      <c r="C803" t="s">
        <v>1098</v>
      </c>
      <c r="D803">
        <v>0</v>
      </c>
      <c r="E803" s="8">
        <v>2452.17</v>
      </c>
      <c r="F803">
        <v>2820</v>
      </c>
      <c r="G803">
        <v>1579.13</v>
      </c>
      <c r="H803">
        <v>1579.13</v>
      </c>
    </row>
    <row r="804" spans="1:14" x14ac:dyDescent="0.2">
      <c r="A804">
        <v>952</v>
      </c>
      <c r="B804">
        <v>60400</v>
      </c>
      <c r="C804" t="s">
        <v>556</v>
      </c>
      <c r="D804">
        <v>384.99</v>
      </c>
      <c r="E804" s="8">
        <v>4299.1400000000003</v>
      </c>
      <c r="F804">
        <v>5000</v>
      </c>
      <c r="G804">
        <v>4560.58</v>
      </c>
      <c r="H804">
        <v>4560.58</v>
      </c>
    </row>
    <row r="805" spans="1:14" x14ac:dyDescent="0.2">
      <c r="A805">
        <v>952</v>
      </c>
      <c r="B805">
        <v>60450</v>
      </c>
      <c r="C805" t="s">
        <v>491</v>
      </c>
      <c r="D805">
        <v>0</v>
      </c>
      <c r="E805" s="8">
        <v>918.25</v>
      </c>
      <c r="F805">
        <v>1500</v>
      </c>
      <c r="G805">
        <v>972.4</v>
      </c>
      <c r="H805">
        <v>972.4</v>
      </c>
    </row>
    <row r="806" spans="1:14" x14ac:dyDescent="0.2">
      <c r="A806">
        <v>952</v>
      </c>
      <c r="B806">
        <v>60500</v>
      </c>
      <c r="C806" t="s">
        <v>544</v>
      </c>
      <c r="D806">
        <v>346.1</v>
      </c>
      <c r="E806" s="8">
        <v>572.58000000000004</v>
      </c>
      <c r="F806">
        <v>1000</v>
      </c>
      <c r="G806">
        <v>926.28</v>
      </c>
      <c r="H806">
        <v>926.28</v>
      </c>
    </row>
    <row r="807" spans="1:14" x14ac:dyDescent="0.2">
      <c r="A807">
        <v>952</v>
      </c>
      <c r="B807">
        <v>60550</v>
      </c>
      <c r="C807" t="s">
        <v>828</v>
      </c>
      <c r="D807">
        <v>117.17</v>
      </c>
      <c r="E807" s="8">
        <v>5244.49</v>
      </c>
      <c r="F807">
        <v>16000</v>
      </c>
      <c r="G807">
        <v>8456.59</v>
      </c>
      <c r="H807">
        <v>8456.59</v>
      </c>
    </row>
    <row r="808" spans="1:14" x14ac:dyDescent="0.2">
      <c r="A808">
        <v>952</v>
      </c>
      <c r="B808">
        <v>60600</v>
      </c>
      <c r="C808" t="s">
        <v>557</v>
      </c>
      <c r="D808">
        <v>0</v>
      </c>
      <c r="E808" s="8">
        <v>65.13</v>
      </c>
      <c r="F808">
        <v>500</v>
      </c>
      <c r="G808">
        <v>71.599999999999994</v>
      </c>
      <c r="H808">
        <v>71.599999999999994</v>
      </c>
    </row>
    <row r="809" spans="1:14" x14ac:dyDescent="0.2">
      <c r="A809">
        <v>952</v>
      </c>
      <c r="B809">
        <v>60700</v>
      </c>
      <c r="C809" t="s">
        <v>558</v>
      </c>
      <c r="D809">
        <v>155.65</v>
      </c>
      <c r="E809" s="8">
        <v>1299.95</v>
      </c>
      <c r="F809">
        <v>12000</v>
      </c>
      <c r="G809">
        <v>962.5</v>
      </c>
      <c r="H809">
        <v>962.5</v>
      </c>
    </row>
    <row r="810" spans="1:14" s="8" customFormat="1" x14ac:dyDescent="0.2">
      <c r="A810" s="8">
        <v>952</v>
      </c>
      <c r="B810" s="8">
        <v>60750</v>
      </c>
      <c r="C810" s="8" t="s">
        <v>1209</v>
      </c>
      <c r="D810" s="8">
        <v>351.15</v>
      </c>
      <c r="E810" s="8">
        <v>6156.67</v>
      </c>
      <c r="F810" s="8">
        <v>20000</v>
      </c>
      <c r="G810" s="8">
        <v>0</v>
      </c>
      <c r="H810" s="8">
        <v>0</v>
      </c>
    </row>
    <row r="811" spans="1:14" x14ac:dyDescent="0.2">
      <c r="A811">
        <v>952</v>
      </c>
      <c r="B811">
        <v>60800</v>
      </c>
      <c r="C811" t="s">
        <v>691</v>
      </c>
      <c r="D811">
        <v>185.39</v>
      </c>
      <c r="E811" s="8">
        <v>3407.99</v>
      </c>
      <c r="F811">
        <v>8000</v>
      </c>
      <c r="G811">
        <v>3214.62</v>
      </c>
      <c r="H811">
        <v>3214.62</v>
      </c>
    </row>
    <row r="812" spans="1:14" x14ac:dyDescent="0.2">
      <c r="A812">
        <v>952</v>
      </c>
      <c r="B812">
        <v>60805</v>
      </c>
      <c r="C812" t="s">
        <v>692</v>
      </c>
      <c r="D812">
        <v>485.68</v>
      </c>
      <c r="E812" s="8">
        <v>5623.85</v>
      </c>
      <c r="F812">
        <v>4000</v>
      </c>
      <c r="G812">
        <v>3827.9</v>
      </c>
      <c r="H812">
        <v>3827.9</v>
      </c>
    </row>
    <row r="813" spans="1:14" x14ac:dyDescent="0.2">
      <c r="A813">
        <v>952</v>
      </c>
      <c r="B813">
        <v>60810</v>
      </c>
      <c r="C813" t="s">
        <v>693</v>
      </c>
      <c r="D813">
        <v>558.36</v>
      </c>
      <c r="E813" s="8">
        <v>2650.54</v>
      </c>
      <c r="F813">
        <v>7000</v>
      </c>
      <c r="G813">
        <v>5492.41</v>
      </c>
      <c r="H813">
        <v>5492.41</v>
      </c>
    </row>
    <row r="814" spans="1:14" x14ac:dyDescent="0.2">
      <c r="A814">
        <v>952</v>
      </c>
      <c r="B814">
        <v>60815</v>
      </c>
      <c r="C814" t="s">
        <v>694</v>
      </c>
      <c r="D814">
        <v>784.7</v>
      </c>
      <c r="E814" s="8">
        <v>10421.23</v>
      </c>
      <c r="F814">
        <v>7000</v>
      </c>
      <c r="G814">
        <v>6412.01</v>
      </c>
      <c r="H814">
        <v>6412.01</v>
      </c>
      <c r="I814" s="8"/>
      <c r="J814" s="8"/>
      <c r="K814" s="8"/>
      <c r="L814" s="8"/>
      <c r="M814" s="8"/>
      <c r="N814" s="8"/>
    </row>
    <row r="815" spans="1:14" x14ac:dyDescent="0.2">
      <c r="A815">
        <v>952</v>
      </c>
      <c r="B815">
        <v>60820</v>
      </c>
      <c r="C815" t="s">
        <v>695</v>
      </c>
      <c r="D815">
        <v>557.16</v>
      </c>
      <c r="E815" s="8">
        <v>9352.89</v>
      </c>
      <c r="F815">
        <v>15000</v>
      </c>
      <c r="G815">
        <v>11979.38</v>
      </c>
      <c r="H815">
        <v>11979.38</v>
      </c>
      <c r="I815" s="8"/>
      <c r="J815" s="8"/>
      <c r="K815" s="8"/>
      <c r="L815" s="8"/>
      <c r="M815" s="8"/>
      <c r="N815" s="8"/>
    </row>
    <row r="816" spans="1:14" x14ac:dyDescent="0.2">
      <c r="A816">
        <v>952</v>
      </c>
      <c r="B816">
        <v>60825</v>
      </c>
      <c r="C816" t="s">
        <v>696</v>
      </c>
      <c r="D816">
        <v>0</v>
      </c>
      <c r="E816" s="8">
        <v>24090.28</v>
      </c>
      <c r="F816">
        <v>0</v>
      </c>
      <c r="G816">
        <v>11529.52</v>
      </c>
      <c r="H816">
        <v>11529.52</v>
      </c>
      <c r="I816" s="8"/>
      <c r="J816" s="8"/>
      <c r="K816" s="8"/>
      <c r="L816" s="8"/>
      <c r="M816" s="8"/>
      <c r="N816" s="8"/>
    </row>
    <row r="817" spans="1:14" s="8" customFormat="1" x14ac:dyDescent="0.2">
      <c r="A817" s="8">
        <v>952</v>
      </c>
      <c r="B817" s="8">
        <v>60826</v>
      </c>
      <c r="C817" s="8" t="s">
        <v>520</v>
      </c>
      <c r="D817" s="8">
        <v>0</v>
      </c>
      <c r="E817" s="8">
        <v>2050.3200000000002</v>
      </c>
      <c r="F817" s="8">
        <v>4300</v>
      </c>
      <c r="G817" s="8">
        <v>0</v>
      </c>
      <c r="H817" s="8">
        <v>0</v>
      </c>
    </row>
    <row r="818" spans="1:14" x14ac:dyDescent="0.2">
      <c r="A818">
        <v>952</v>
      </c>
      <c r="B818">
        <v>60830</v>
      </c>
      <c r="C818" t="s">
        <v>516</v>
      </c>
      <c r="D818">
        <v>608.92999999999995</v>
      </c>
      <c r="E818" s="8">
        <v>5231.6899999999996</v>
      </c>
      <c r="F818">
        <v>6000</v>
      </c>
      <c r="G818">
        <v>4510.75</v>
      </c>
      <c r="H818">
        <v>4510.75</v>
      </c>
      <c r="I818" s="8"/>
      <c r="J818" s="8"/>
      <c r="K818" s="8"/>
      <c r="L818" s="8"/>
      <c r="M818" s="8"/>
      <c r="N818" s="8"/>
    </row>
    <row r="819" spans="1:14" x14ac:dyDescent="0.2">
      <c r="A819">
        <v>952</v>
      </c>
      <c r="B819">
        <v>60850</v>
      </c>
      <c r="C819" t="s">
        <v>697</v>
      </c>
      <c r="D819">
        <v>0</v>
      </c>
      <c r="E819" s="8">
        <v>0</v>
      </c>
      <c r="F819">
        <v>0</v>
      </c>
      <c r="G819">
        <v>0</v>
      </c>
      <c r="H819">
        <v>0</v>
      </c>
      <c r="I819" s="8"/>
      <c r="J819" s="8"/>
      <c r="K819" s="8"/>
      <c r="L819" s="8"/>
      <c r="M819" s="8"/>
      <c r="N819" s="8"/>
    </row>
    <row r="820" spans="1:14" x14ac:dyDescent="0.2">
      <c r="A820">
        <v>952</v>
      </c>
      <c r="B820">
        <v>60851</v>
      </c>
      <c r="C820" t="s">
        <v>698</v>
      </c>
      <c r="D820">
        <v>0</v>
      </c>
      <c r="E820" s="8">
        <v>0</v>
      </c>
      <c r="F820">
        <v>0</v>
      </c>
      <c r="G820">
        <v>0</v>
      </c>
      <c r="H820">
        <v>0</v>
      </c>
    </row>
    <row r="821" spans="1:14" x14ac:dyDescent="0.2">
      <c r="A821">
        <v>952</v>
      </c>
      <c r="B821">
        <v>60855</v>
      </c>
      <c r="C821" t="s">
        <v>699</v>
      </c>
      <c r="D821">
        <v>0</v>
      </c>
      <c r="E821" s="8">
        <v>0</v>
      </c>
      <c r="F821">
        <v>0</v>
      </c>
      <c r="G821">
        <v>0</v>
      </c>
      <c r="H821">
        <v>0</v>
      </c>
    </row>
    <row r="822" spans="1:14" x14ac:dyDescent="0.2">
      <c r="A822">
        <v>952</v>
      </c>
      <c r="B822">
        <v>60860</v>
      </c>
      <c r="C822" t="s">
        <v>700</v>
      </c>
      <c r="D822">
        <v>0</v>
      </c>
      <c r="E822" s="8">
        <v>0</v>
      </c>
      <c r="F822">
        <v>0</v>
      </c>
      <c r="G822">
        <v>0</v>
      </c>
      <c r="H822">
        <v>0</v>
      </c>
    </row>
    <row r="823" spans="1:14" x14ac:dyDescent="0.2">
      <c r="A823">
        <v>952</v>
      </c>
      <c r="B823">
        <v>60865</v>
      </c>
      <c r="C823" t="s">
        <v>1170</v>
      </c>
      <c r="D823">
        <v>0</v>
      </c>
      <c r="E823" s="8">
        <v>187.39</v>
      </c>
      <c r="F823">
        <v>0</v>
      </c>
      <c r="G823">
        <v>34.94</v>
      </c>
      <c r="H823">
        <v>34.94</v>
      </c>
      <c r="I823" s="8"/>
      <c r="J823" s="8"/>
    </row>
    <row r="824" spans="1:14" x14ac:dyDescent="0.2">
      <c r="A824">
        <v>952</v>
      </c>
      <c r="B824">
        <v>60875</v>
      </c>
      <c r="C824" t="s">
        <v>701</v>
      </c>
      <c r="D824">
        <v>0</v>
      </c>
      <c r="E824" s="8">
        <v>0</v>
      </c>
      <c r="F824">
        <v>0</v>
      </c>
      <c r="G824">
        <v>0</v>
      </c>
      <c r="H824">
        <v>0</v>
      </c>
      <c r="I824" s="8"/>
      <c r="J824" s="8"/>
    </row>
    <row r="825" spans="1:14" x14ac:dyDescent="0.2">
      <c r="A825">
        <v>952</v>
      </c>
      <c r="B825" s="8">
        <v>60876</v>
      </c>
      <c r="C825" t="s">
        <v>702</v>
      </c>
      <c r="D825">
        <v>37.659999999999997</v>
      </c>
      <c r="E825" s="8">
        <v>417.6</v>
      </c>
      <c r="F825">
        <v>800</v>
      </c>
      <c r="G825">
        <v>483.21</v>
      </c>
      <c r="H825">
        <v>483.21</v>
      </c>
      <c r="I825" s="8"/>
      <c r="J825" s="8"/>
    </row>
    <row r="826" spans="1:14" x14ac:dyDescent="0.2">
      <c r="A826">
        <v>952</v>
      </c>
      <c r="B826" s="8">
        <v>61000</v>
      </c>
      <c r="C826" t="s">
        <v>201</v>
      </c>
      <c r="D826">
        <v>337.99</v>
      </c>
      <c r="E826" s="8">
        <v>11166.61</v>
      </c>
      <c r="F826">
        <v>4000</v>
      </c>
      <c r="G826">
        <v>48122.82</v>
      </c>
      <c r="H826">
        <v>48122.82</v>
      </c>
      <c r="I826" s="8"/>
      <c r="J826" s="8"/>
    </row>
    <row r="827" spans="1:14" x14ac:dyDescent="0.2">
      <c r="A827">
        <v>952</v>
      </c>
      <c r="B827">
        <v>61100</v>
      </c>
      <c r="C827" t="s">
        <v>202</v>
      </c>
      <c r="D827">
        <v>0</v>
      </c>
      <c r="E827" s="8">
        <v>6413.04</v>
      </c>
      <c r="F827">
        <v>7000</v>
      </c>
      <c r="G827">
        <v>34736.25</v>
      </c>
      <c r="H827">
        <v>34736.25</v>
      </c>
      <c r="I827" s="8"/>
      <c r="J827" s="8"/>
    </row>
    <row r="828" spans="1:14" s="8" customFormat="1" x14ac:dyDescent="0.2">
      <c r="A828" s="8">
        <v>952</v>
      </c>
      <c r="B828" s="8">
        <v>61150</v>
      </c>
      <c r="C828" s="8" t="s">
        <v>1210</v>
      </c>
      <c r="D828" s="8">
        <v>0</v>
      </c>
      <c r="E828" s="8">
        <v>6424.35</v>
      </c>
      <c r="F828" s="8">
        <v>11000</v>
      </c>
      <c r="G828" s="8">
        <v>0</v>
      </c>
      <c r="H828" s="8">
        <v>0</v>
      </c>
      <c r="I828" s="26"/>
    </row>
    <row r="829" spans="1:14" x14ac:dyDescent="0.2">
      <c r="A829" s="8">
        <v>952</v>
      </c>
      <c r="B829" s="8">
        <v>61160</v>
      </c>
      <c r="C829" s="8" t="s">
        <v>1325</v>
      </c>
      <c r="D829" s="8">
        <v>0</v>
      </c>
      <c r="E829" s="8">
        <v>0</v>
      </c>
      <c r="F829" s="8">
        <v>0</v>
      </c>
      <c r="G829" s="8">
        <v>0</v>
      </c>
      <c r="H829" s="8">
        <v>0</v>
      </c>
      <c r="I829" s="8"/>
      <c r="J829" s="8"/>
    </row>
    <row r="830" spans="1:14" s="8" customFormat="1" ht="12" customHeight="1" x14ac:dyDescent="0.2">
      <c r="A830" s="8">
        <v>952</v>
      </c>
      <c r="B830" s="8">
        <v>61170</v>
      </c>
      <c r="C830" s="8" t="s">
        <v>1211</v>
      </c>
      <c r="D830" s="8">
        <v>0</v>
      </c>
      <c r="E830" s="8">
        <v>9469.57</v>
      </c>
      <c r="F830" s="8">
        <v>12000</v>
      </c>
      <c r="G830" s="8">
        <v>0</v>
      </c>
      <c r="H830" s="8">
        <v>0</v>
      </c>
      <c r="I830" s="26"/>
    </row>
    <row r="831" spans="1:14" x14ac:dyDescent="0.2">
      <c r="A831" s="8">
        <v>952</v>
      </c>
      <c r="B831" s="8">
        <v>61175</v>
      </c>
      <c r="C831" s="8" t="s">
        <v>1326</v>
      </c>
      <c r="D831" s="8">
        <v>0</v>
      </c>
      <c r="E831" s="8">
        <v>0</v>
      </c>
      <c r="F831" s="8">
        <v>0</v>
      </c>
      <c r="G831" s="8">
        <v>0</v>
      </c>
      <c r="H831" s="8">
        <v>0</v>
      </c>
      <c r="I831" s="8"/>
      <c r="J831" s="8"/>
    </row>
    <row r="832" spans="1:14" x14ac:dyDescent="0.2">
      <c r="A832">
        <v>952</v>
      </c>
      <c r="B832">
        <v>61200</v>
      </c>
      <c r="C832" t="s">
        <v>203</v>
      </c>
      <c r="D832">
        <v>0</v>
      </c>
      <c r="E832" s="8">
        <v>0</v>
      </c>
      <c r="F832">
        <v>2000</v>
      </c>
      <c r="G832">
        <v>300</v>
      </c>
      <c r="H832">
        <v>300</v>
      </c>
    </row>
    <row r="833" spans="1:8" x14ac:dyDescent="0.2">
      <c r="A833">
        <v>952</v>
      </c>
      <c r="B833">
        <v>61300</v>
      </c>
      <c r="C833" t="s">
        <v>204</v>
      </c>
      <c r="D833">
        <v>668.61</v>
      </c>
      <c r="E833" s="8">
        <v>7140.89</v>
      </c>
      <c r="F833">
        <v>15200</v>
      </c>
      <c r="G833">
        <v>6243.31</v>
      </c>
      <c r="H833">
        <v>6243.31</v>
      </c>
    </row>
    <row r="834" spans="1:8" x14ac:dyDescent="0.2">
      <c r="A834">
        <v>952</v>
      </c>
      <c r="B834">
        <v>61400</v>
      </c>
      <c r="C834" t="s">
        <v>1212</v>
      </c>
      <c r="D834">
        <v>0</v>
      </c>
      <c r="E834" s="8">
        <v>0</v>
      </c>
      <c r="F834">
        <v>42000</v>
      </c>
      <c r="G834">
        <v>0</v>
      </c>
      <c r="H834">
        <v>0</v>
      </c>
    </row>
    <row r="835" spans="1:8" x14ac:dyDescent="0.2">
      <c r="A835">
        <v>952</v>
      </c>
      <c r="B835">
        <v>61500</v>
      </c>
      <c r="C835" t="s">
        <v>205</v>
      </c>
      <c r="D835">
        <v>0</v>
      </c>
      <c r="E835" s="8">
        <v>21478.27</v>
      </c>
      <c r="F835">
        <v>18000</v>
      </c>
      <c r="G835">
        <v>17217.39</v>
      </c>
      <c r="H835">
        <v>17217.39</v>
      </c>
    </row>
    <row r="836" spans="1:8" x14ac:dyDescent="0.2">
      <c r="A836">
        <v>952</v>
      </c>
      <c r="B836">
        <v>61600</v>
      </c>
      <c r="C836" t="s">
        <v>206</v>
      </c>
      <c r="D836">
        <v>64.7</v>
      </c>
      <c r="E836" s="8">
        <v>2147.61</v>
      </c>
      <c r="F836">
        <v>1575</v>
      </c>
      <c r="G836">
        <v>1853.95</v>
      </c>
      <c r="H836">
        <v>1853.95</v>
      </c>
    </row>
    <row r="837" spans="1:8" x14ac:dyDescent="0.2">
      <c r="A837">
        <v>952</v>
      </c>
      <c r="B837">
        <v>61700</v>
      </c>
      <c r="C837" t="s">
        <v>207</v>
      </c>
      <c r="D837">
        <v>61.13</v>
      </c>
      <c r="E837" s="8">
        <v>12440.12</v>
      </c>
      <c r="F837">
        <v>19500</v>
      </c>
      <c r="G837">
        <v>9236.92</v>
      </c>
      <c r="H837">
        <v>9236.92</v>
      </c>
    </row>
    <row r="838" spans="1:8" x14ac:dyDescent="0.2">
      <c r="A838">
        <v>952</v>
      </c>
      <c r="B838">
        <v>61800</v>
      </c>
      <c r="C838" t="s">
        <v>208</v>
      </c>
      <c r="D838">
        <v>0</v>
      </c>
      <c r="E838" s="8">
        <v>5274.12</v>
      </c>
      <c r="F838">
        <v>27000</v>
      </c>
      <c r="G838">
        <v>5011.6400000000003</v>
      </c>
      <c r="H838">
        <v>5011.6400000000003</v>
      </c>
    </row>
    <row r="839" spans="1:8" x14ac:dyDescent="0.2">
      <c r="A839">
        <v>952</v>
      </c>
      <c r="B839">
        <v>61900</v>
      </c>
      <c r="C839" t="s">
        <v>209</v>
      </c>
      <c r="D839">
        <v>0</v>
      </c>
      <c r="E839" s="8">
        <v>1154.99</v>
      </c>
      <c r="F839">
        <v>2000</v>
      </c>
      <c r="G839">
        <v>904.88</v>
      </c>
      <c r="H839">
        <v>904.88</v>
      </c>
    </row>
    <row r="840" spans="1:8" x14ac:dyDescent="0.2">
      <c r="A840">
        <v>952</v>
      </c>
      <c r="B840">
        <v>62000</v>
      </c>
      <c r="C840" t="s">
        <v>542</v>
      </c>
      <c r="D840">
        <v>0</v>
      </c>
      <c r="E840" s="8">
        <v>131.03</v>
      </c>
      <c r="F840">
        <v>300</v>
      </c>
      <c r="G840">
        <v>188.05</v>
      </c>
      <c r="H840">
        <v>188.05</v>
      </c>
    </row>
    <row r="841" spans="1:8" x14ac:dyDescent="0.2">
      <c r="A841">
        <v>952</v>
      </c>
      <c r="B841">
        <v>62050</v>
      </c>
      <c r="C841" t="s">
        <v>499</v>
      </c>
      <c r="D841">
        <v>0</v>
      </c>
      <c r="E841" s="8">
        <v>234.59</v>
      </c>
      <c r="F841">
        <v>650</v>
      </c>
      <c r="G841">
        <v>567.32000000000005</v>
      </c>
      <c r="H841">
        <v>567.32000000000005</v>
      </c>
    </row>
    <row r="842" spans="1:8" x14ac:dyDescent="0.2">
      <c r="A842">
        <v>952</v>
      </c>
      <c r="B842">
        <v>62100</v>
      </c>
      <c r="C842" t="s">
        <v>619</v>
      </c>
      <c r="D842">
        <v>715.62</v>
      </c>
      <c r="E842" s="8">
        <v>9030.5</v>
      </c>
      <c r="F842">
        <v>9000</v>
      </c>
      <c r="G842">
        <v>9066.2099999999991</v>
      </c>
      <c r="H842">
        <v>9066.2099999999991</v>
      </c>
    </row>
    <row r="843" spans="1:8" x14ac:dyDescent="0.2">
      <c r="A843">
        <v>952</v>
      </c>
      <c r="B843">
        <v>62150</v>
      </c>
      <c r="C843" t="s">
        <v>907</v>
      </c>
      <c r="D843">
        <v>0</v>
      </c>
      <c r="E843" s="8">
        <v>0</v>
      </c>
      <c r="F843">
        <v>0</v>
      </c>
      <c r="G843">
        <v>0</v>
      </c>
      <c r="H843">
        <v>0</v>
      </c>
    </row>
    <row r="844" spans="1:8" x14ac:dyDescent="0.2">
      <c r="A844">
        <v>952</v>
      </c>
      <c r="B844">
        <v>62200</v>
      </c>
      <c r="C844" t="s">
        <v>571</v>
      </c>
      <c r="D844">
        <v>0</v>
      </c>
      <c r="E844" s="8">
        <v>130</v>
      </c>
      <c r="F844">
        <v>750</v>
      </c>
      <c r="G844">
        <v>661.17</v>
      </c>
      <c r="H844">
        <v>661.17</v>
      </c>
    </row>
    <row r="845" spans="1:8" x14ac:dyDescent="0.2">
      <c r="A845">
        <v>952</v>
      </c>
      <c r="B845">
        <v>62250</v>
      </c>
      <c r="C845" t="s">
        <v>491</v>
      </c>
      <c r="D845">
        <v>154.53</v>
      </c>
      <c r="E845" s="8">
        <v>2437.85</v>
      </c>
      <c r="F845">
        <v>4000</v>
      </c>
      <c r="G845">
        <v>6618.77</v>
      </c>
      <c r="H845">
        <v>6618.77</v>
      </c>
    </row>
    <row r="846" spans="1:8" x14ac:dyDescent="0.2">
      <c r="A846">
        <v>952</v>
      </c>
      <c r="B846">
        <v>62300</v>
      </c>
      <c r="C846" t="s">
        <v>544</v>
      </c>
      <c r="D846">
        <v>23.33</v>
      </c>
      <c r="E846" s="8">
        <v>3894.7</v>
      </c>
      <c r="F846">
        <v>3500</v>
      </c>
      <c r="G846">
        <v>2882.91</v>
      </c>
      <c r="H846">
        <v>2882.91</v>
      </c>
    </row>
    <row r="847" spans="1:8" x14ac:dyDescent="0.2">
      <c r="A847">
        <v>952</v>
      </c>
      <c r="B847">
        <v>62350</v>
      </c>
      <c r="C847" t="s">
        <v>828</v>
      </c>
      <c r="D847">
        <v>820.23</v>
      </c>
      <c r="E847" s="8">
        <v>5822.9</v>
      </c>
      <c r="F847">
        <v>5800</v>
      </c>
      <c r="G847">
        <v>5831.63</v>
      </c>
      <c r="H847">
        <v>5831.63</v>
      </c>
    </row>
    <row r="848" spans="1:8" x14ac:dyDescent="0.2">
      <c r="A848">
        <v>952</v>
      </c>
      <c r="B848">
        <v>62360</v>
      </c>
      <c r="C848" t="s">
        <v>557</v>
      </c>
      <c r="D848">
        <v>0</v>
      </c>
      <c r="E848" s="8">
        <v>124.6</v>
      </c>
      <c r="F848">
        <v>300</v>
      </c>
      <c r="G848">
        <v>223.03</v>
      </c>
      <c r="H848">
        <v>223.03</v>
      </c>
    </row>
    <row r="849" spans="1:8" x14ac:dyDescent="0.2">
      <c r="A849">
        <v>952</v>
      </c>
      <c r="B849">
        <v>62400</v>
      </c>
      <c r="C849" t="s">
        <v>572</v>
      </c>
      <c r="D849">
        <v>0</v>
      </c>
      <c r="E849" s="8">
        <v>173.91</v>
      </c>
      <c r="F849">
        <v>300</v>
      </c>
      <c r="G849">
        <v>95.65</v>
      </c>
      <c r="H849">
        <v>95.65</v>
      </c>
    </row>
    <row r="850" spans="1:8" x14ac:dyDescent="0.2">
      <c r="A850">
        <v>952</v>
      </c>
      <c r="B850">
        <v>62450</v>
      </c>
      <c r="C850" t="s">
        <v>580</v>
      </c>
      <c r="D850">
        <v>0</v>
      </c>
      <c r="E850" s="8">
        <v>1054.2</v>
      </c>
      <c r="F850">
        <v>2000</v>
      </c>
      <c r="G850">
        <v>1466.06</v>
      </c>
      <c r="H850">
        <v>1466.06</v>
      </c>
    </row>
    <row r="851" spans="1:8" x14ac:dyDescent="0.2">
      <c r="A851">
        <v>952</v>
      </c>
      <c r="B851">
        <v>62455</v>
      </c>
      <c r="C851" t="s">
        <v>1199</v>
      </c>
      <c r="D851">
        <v>0</v>
      </c>
      <c r="E851" s="8">
        <v>0</v>
      </c>
      <c r="F851">
        <v>200</v>
      </c>
      <c r="G851">
        <v>0</v>
      </c>
      <c r="H851">
        <v>0</v>
      </c>
    </row>
    <row r="852" spans="1:8" x14ac:dyDescent="0.2">
      <c r="A852">
        <v>952</v>
      </c>
      <c r="B852">
        <v>62500</v>
      </c>
      <c r="C852" t="s">
        <v>512</v>
      </c>
      <c r="D852">
        <v>3970.7</v>
      </c>
      <c r="E852" s="8">
        <v>64428.639999999999</v>
      </c>
      <c r="F852">
        <v>80557</v>
      </c>
      <c r="G852">
        <v>68876.149999999994</v>
      </c>
      <c r="H852">
        <v>68876.149999999994</v>
      </c>
    </row>
    <row r="853" spans="1:8" x14ac:dyDescent="0.2">
      <c r="A853">
        <v>952</v>
      </c>
      <c r="B853">
        <v>62550</v>
      </c>
      <c r="C853" t="s">
        <v>916</v>
      </c>
      <c r="D853">
        <v>0</v>
      </c>
      <c r="E853" s="8">
        <v>195.65</v>
      </c>
      <c r="F853">
        <v>500</v>
      </c>
      <c r="G853">
        <v>1025.72</v>
      </c>
      <c r="H853">
        <v>1025.72</v>
      </c>
    </row>
    <row r="854" spans="1:8" x14ac:dyDescent="0.2">
      <c r="A854">
        <v>952</v>
      </c>
      <c r="B854">
        <v>62560</v>
      </c>
      <c r="C854" t="s">
        <v>210</v>
      </c>
      <c r="D854">
        <v>43.48</v>
      </c>
      <c r="E854" s="8">
        <v>5177.6099999999997</v>
      </c>
      <c r="F854">
        <v>4000</v>
      </c>
      <c r="G854">
        <v>1728.24</v>
      </c>
      <c r="H854">
        <v>1728.24</v>
      </c>
    </row>
    <row r="855" spans="1:8" x14ac:dyDescent="0.2">
      <c r="A855">
        <v>952</v>
      </c>
      <c r="B855">
        <v>62570</v>
      </c>
      <c r="C855" t="s">
        <v>567</v>
      </c>
      <c r="D855">
        <v>1522.84</v>
      </c>
      <c r="E855" s="8">
        <v>11403.74</v>
      </c>
      <c r="F855">
        <v>12000</v>
      </c>
      <c r="G855">
        <v>12751.61</v>
      </c>
      <c r="H855">
        <v>12751.61</v>
      </c>
    </row>
    <row r="856" spans="1:8" x14ac:dyDescent="0.2">
      <c r="A856">
        <v>952</v>
      </c>
      <c r="B856">
        <v>62580</v>
      </c>
      <c r="C856" t="s">
        <v>516</v>
      </c>
      <c r="D856">
        <v>1159.0899999999999</v>
      </c>
      <c r="E856" s="8">
        <v>11939.66</v>
      </c>
      <c r="F856">
        <v>12000</v>
      </c>
      <c r="G856">
        <v>12157.26</v>
      </c>
      <c r="H856">
        <v>12157.26</v>
      </c>
    </row>
    <row r="857" spans="1:8" x14ac:dyDescent="0.2">
      <c r="A857">
        <v>952</v>
      </c>
      <c r="B857">
        <v>63000</v>
      </c>
      <c r="C857" t="s">
        <v>542</v>
      </c>
      <c r="D857">
        <v>11.76</v>
      </c>
      <c r="E857" s="8">
        <v>179.16</v>
      </c>
      <c r="F857">
        <v>100</v>
      </c>
      <c r="G857">
        <v>102.01</v>
      </c>
      <c r="H857">
        <v>102.01</v>
      </c>
    </row>
    <row r="858" spans="1:8" x14ac:dyDescent="0.2">
      <c r="A858">
        <v>952</v>
      </c>
      <c r="B858">
        <v>63050</v>
      </c>
      <c r="C858" t="s">
        <v>499</v>
      </c>
      <c r="D858">
        <v>0</v>
      </c>
      <c r="E858" s="8">
        <v>376.79</v>
      </c>
      <c r="F858">
        <v>100</v>
      </c>
      <c r="G858">
        <v>43.48</v>
      </c>
      <c r="H858">
        <v>43.48</v>
      </c>
    </row>
    <row r="859" spans="1:8" x14ac:dyDescent="0.2">
      <c r="A859">
        <v>952</v>
      </c>
      <c r="B859">
        <v>63100</v>
      </c>
      <c r="C859" t="s">
        <v>619</v>
      </c>
      <c r="D859">
        <v>224.55</v>
      </c>
      <c r="E859" s="8">
        <v>4008.36</v>
      </c>
      <c r="F859">
        <v>5500</v>
      </c>
      <c r="G859">
        <v>2928.34</v>
      </c>
      <c r="H859">
        <v>2928.34</v>
      </c>
    </row>
    <row r="860" spans="1:8" x14ac:dyDescent="0.2">
      <c r="A860">
        <v>952</v>
      </c>
      <c r="B860">
        <v>63150</v>
      </c>
      <c r="C860" t="s">
        <v>907</v>
      </c>
      <c r="D860">
        <v>0</v>
      </c>
      <c r="E860" s="8">
        <v>1200</v>
      </c>
      <c r="F860">
        <v>1350</v>
      </c>
      <c r="G860">
        <v>1043.48</v>
      </c>
      <c r="H860">
        <v>1043.48</v>
      </c>
    </row>
    <row r="861" spans="1:8" x14ac:dyDescent="0.2">
      <c r="A861">
        <v>952</v>
      </c>
      <c r="B861">
        <v>63200</v>
      </c>
      <c r="C861" t="s">
        <v>571</v>
      </c>
      <c r="D861">
        <v>0</v>
      </c>
      <c r="E861" s="8">
        <v>0</v>
      </c>
      <c r="F861">
        <v>750</v>
      </c>
      <c r="G861">
        <v>56.52</v>
      </c>
      <c r="H861">
        <v>56.52</v>
      </c>
    </row>
    <row r="862" spans="1:8" x14ac:dyDescent="0.2">
      <c r="A862">
        <v>952</v>
      </c>
      <c r="B862">
        <v>63250</v>
      </c>
      <c r="C862" t="s">
        <v>491</v>
      </c>
      <c r="D862">
        <v>56.28</v>
      </c>
      <c r="E862" s="8">
        <v>585.66999999999996</v>
      </c>
      <c r="F862">
        <v>2000</v>
      </c>
      <c r="G862">
        <v>2565.21</v>
      </c>
      <c r="H862">
        <v>2565.21</v>
      </c>
    </row>
    <row r="863" spans="1:8" x14ac:dyDescent="0.2">
      <c r="A863">
        <v>952</v>
      </c>
      <c r="B863">
        <v>63300</v>
      </c>
      <c r="C863" t="s">
        <v>544</v>
      </c>
      <c r="D863">
        <v>33.35</v>
      </c>
      <c r="E863" s="8">
        <v>1672.62</v>
      </c>
      <c r="F863">
        <v>1500</v>
      </c>
      <c r="G863">
        <v>680.17</v>
      </c>
      <c r="H863">
        <v>680.17</v>
      </c>
    </row>
    <row r="864" spans="1:8" x14ac:dyDescent="0.2">
      <c r="A864">
        <v>952</v>
      </c>
      <c r="B864">
        <v>63350</v>
      </c>
      <c r="C864" t="s">
        <v>828</v>
      </c>
      <c r="D864">
        <v>236.96</v>
      </c>
      <c r="E864" s="8">
        <v>3796.58</v>
      </c>
      <c r="F864">
        <v>3000</v>
      </c>
      <c r="G864">
        <v>4032.49</v>
      </c>
      <c r="H864">
        <v>4032.49</v>
      </c>
    </row>
    <row r="865" spans="1:14" x14ac:dyDescent="0.2">
      <c r="A865">
        <v>952</v>
      </c>
      <c r="B865">
        <v>63400</v>
      </c>
      <c r="C865" t="s">
        <v>557</v>
      </c>
      <c r="D865">
        <v>0</v>
      </c>
      <c r="E865" s="8">
        <v>180.41</v>
      </c>
      <c r="F865">
        <v>250</v>
      </c>
      <c r="G865">
        <v>0</v>
      </c>
      <c r="H865">
        <v>0</v>
      </c>
    </row>
    <row r="866" spans="1:14" x14ac:dyDescent="0.2">
      <c r="A866">
        <v>952</v>
      </c>
      <c r="B866">
        <v>63450</v>
      </c>
      <c r="C866" t="s">
        <v>572</v>
      </c>
      <c r="D866">
        <v>0</v>
      </c>
      <c r="E866" s="8">
        <v>0</v>
      </c>
      <c r="F866">
        <v>200</v>
      </c>
      <c r="G866">
        <v>0</v>
      </c>
      <c r="H866">
        <v>0</v>
      </c>
    </row>
    <row r="867" spans="1:14" x14ac:dyDescent="0.2">
      <c r="A867">
        <v>952</v>
      </c>
      <c r="B867">
        <v>63460</v>
      </c>
      <c r="C867" t="s">
        <v>580</v>
      </c>
      <c r="D867">
        <v>0</v>
      </c>
      <c r="E867" s="8">
        <v>639.13</v>
      </c>
      <c r="F867">
        <v>500</v>
      </c>
      <c r="G867">
        <v>147.22999999999999</v>
      </c>
      <c r="H867">
        <v>147.22999999999999</v>
      </c>
    </row>
    <row r="868" spans="1:14" x14ac:dyDescent="0.2">
      <c r="A868">
        <v>952</v>
      </c>
      <c r="B868">
        <v>63465</v>
      </c>
      <c r="C868" t="s">
        <v>1199</v>
      </c>
      <c r="D868">
        <v>0</v>
      </c>
      <c r="E868" s="8">
        <v>164.35</v>
      </c>
      <c r="F868">
        <v>200</v>
      </c>
      <c r="G868">
        <v>0</v>
      </c>
      <c r="H868">
        <v>0</v>
      </c>
    </row>
    <row r="869" spans="1:14" x14ac:dyDescent="0.2">
      <c r="A869">
        <v>952</v>
      </c>
      <c r="B869">
        <v>63500</v>
      </c>
      <c r="C869" t="s">
        <v>512</v>
      </c>
      <c r="D869">
        <v>3630.42</v>
      </c>
      <c r="E869" s="8">
        <v>17677.189999999999</v>
      </c>
      <c r="F869">
        <v>19047</v>
      </c>
      <c r="G869">
        <v>8430.17</v>
      </c>
      <c r="H869">
        <v>8430.17</v>
      </c>
    </row>
    <row r="870" spans="1:14" x14ac:dyDescent="0.2">
      <c r="A870">
        <v>952</v>
      </c>
      <c r="B870">
        <v>63550</v>
      </c>
      <c r="C870" t="s">
        <v>916</v>
      </c>
      <c r="D870">
        <v>0</v>
      </c>
      <c r="E870" s="8">
        <v>195.65</v>
      </c>
      <c r="F870">
        <v>500</v>
      </c>
      <c r="G870">
        <v>610.17999999999995</v>
      </c>
      <c r="H870">
        <v>610.17999999999995</v>
      </c>
    </row>
    <row r="871" spans="1:14" x14ac:dyDescent="0.2">
      <c r="A871">
        <v>952</v>
      </c>
      <c r="B871">
        <v>63560</v>
      </c>
      <c r="C871" t="s">
        <v>558</v>
      </c>
      <c r="D871">
        <v>0</v>
      </c>
      <c r="E871" s="8">
        <v>1244.1199999999999</v>
      </c>
      <c r="F871">
        <v>1500</v>
      </c>
      <c r="G871">
        <v>135.65</v>
      </c>
      <c r="H871">
        <v>135.65</v>
      </c>
    </row>
    <row r="872" spans="1:14" x14ac:dyDescent="0.2">
      <c r="A872">
        <v>952</v>
      </c>
      <c r="B872">
        <v>63570</v>
      </c>
      <c r="C872" t="s">
        <v>945</v>
      </c>
      <c r="D872">
        <v>399.75</v>
      </c>
      <c r="E872" s="8">
        <v>6913.77</v>
      </c>
      <c r="F872">
        <v>4500</v>
      </c>
      <c r="G872">
        <v>3697.71</v>
      </c>
      <c r="H872">
        <v>3697.71</v>
      </c>
    </row>
    <row r="873" spans="1:14" x14ac:dyDescent="0.2">
      <c r="A873">
        <v>952</v>
      </c>
      <c r="B873">
        <v>63580</v>
      </c>
      <c r="C873" t="s">
        <v>516</v>
      </c>
      <c r="D873">
        <v>820.02</v>
      </c>
      <c r="E873" s="8">
        <v>6538.04</v>
      </c>
      <c r="F873">
        <v>8000</v>
      </c>
      <c r="G873">
        <v>6474.31</v>
      </c>
      <c r="H873">
        <v>6474.31</v>
      </c>
    </row>
    <row r="874" spans="1:14" x14ac:dyDescent="0.2">
      <c r="A874">
        <v>952</v>
      </c>
      <c r="B874">
        <v>9000</v>
      </c>
      <c r="C874" t="s">
        <v>703</v>
      </c>
      <c r="D874">
        <v>-700321.02</v>
      </c>
      <c r="E874" s="8">
        <v>548126.94999999995</v>
      </c>
      <c r="F874">
        <v>0</v>
      </c>
      <c r="G874">
        <v>361619.76</v>
      </c>
      <c r="H874">
        <v>361619.76</v>
      </c>
    </row>
    <row r="875" spans="1:14" x14ac:dyDescent="0.2">
      <c r="A875">
        <v>952</v>
      </c>
      <c r="B875">
        <v>9001</v>
      </c>
      <c r="C875" t="s">
        <v>1327</v>
      </c>
      <c r="D875">
        <v>1163.69</v>
      </c>
      <c r="E875" s="8">
        <v>1097281.33</v>
      </c>
      <c r="F875">
        <v>0</v>
      </c>
      <c r="G875">
        <v>0</v>
      </c>
      <c r="H875">
        <v>0</v>
      </c>
    </row>
    <row r="876" spans="1:14" x14ac:dyDescent="0.2">
      <c r="A876">
        <v>952</v>
      </c>
      <c r="B876">
        <v>9002</v>
      </c>
      <c r="C876" t="s">
        <v>946</v>
      </c>
      <c r="D876">
        <v>0</v>
      </c>
      <c r="E876" s="8">
        <v>0</v>
      </c>
      <c r="F876">
        <v>0</v>
      </c>
      <c r="G876">
        <v>238242.53</v>
      </c>
      <c r="H876">
        <v>238242.53</v>
      </c>
    </row>
    <row r="877" spans="1:14" x14ac:dyDescent="0.2">
      <c r="A877">
        <v>952</v>
      </c>
      <c r="B877">
        <v>9003</v>
      </c>
      <c r="C877" t="s">
        <v>948</v>
      </c>
      <c r="D877">
        <v>0</v>
      </c>
      <c r="E877" s="8">
        <v>902073.02</v>
      </c>
      <c r="F877">
        <v>0</v>
      </c>
      <c r="G877">
        <v>872833.11</v>
      </c>
      <c r="H877">
        <v>872833.11</v>
      </c>
    </row>
    <row r="878" spans="1:14" x14ac:dyDescent="0.2">
      <c r="A878">
        <v>952</v>
      </c>
      <c r="B878">
        <v>9004</v>
      </c>
      <c r="C878" t="s">
        <v>949</v>
      </c>
      <c r="D878">
        <v>4570.08</v>
      </c>
      <c r="E878" s="8">
        <v>535890.16</v>
      </c>
      <c r="F878">
        <v>0</v>
      </c>
      <c r="G878">
        <v>519487.87</v>
      </c>
      <c r="H878">
        <v>519487.87</v>
      </c>
    </row>
    <row r="879" spans="1:14" x14ac:dyDescent="0.2">
      <c r="A879">
        <v>952</v>
      </c>
      <c r="B879">
        <v>9005</v>
      </c>
      <c r="C879" t="s">
        <v>950</v>
      </c>
      <c r="D879">
        <v>0</v>
      </c>
      <c r="E879" s="8">
        <v>504473.97</v>
      </c>
      <c r="F879">
        <v>0</v>
      </c>
      <c r="G879">
        <v>769815.84</v>
      </c>
      <c r="H879">
        <v>769815.84</v>
      </c>
    </row>
    <row r="880" spans="1:14" x14ac:dyDescent="0.2">
      <c r="A880">
        <v>952</v>
      </c>
      <c r="B880">
        <v>9006</v>
      </c>
      <c r="C880" t="s">
        <v>951</v>
      </c>
      <c r="D880">
        <v>0</v>
      </c>
      <c r="E880" s="8">
        <v>850594.91</v>
      </c>
      <c r="F880">
        <v>0</v>
      </c>
      <c r="G880">
        <v>0</v>
      </c>
      <c r="H880">
        <v>0</v>
      </c>
      <c r="I880" s="8"/>
      <c r="J880" s="8"/>
      <c r="K880" s="8"/>
      <c r="L880" s="8"/>
      <c r="M880" s="8"/>
      <c r="N880" s="8"/>
    </row>
    <row r="881" spans="1:14" x14ac:dyDescent="0.2">
      <c r="A881">
        <v>952</v>
      </c>
      <c r="B881">
        <v>9007</v>
      </c>
      <c r="C881" t="s">
        <v>952</v>
      </c>
      <c r="D881">
        <v>0</v>
      </c>
      <c r="E881" s="8">
        <v>400000</v>
      </c>
      <c r="F881">
        <v>0</v>
      </c>
      <c r="G881">
        <v>0</v>
      </c>
      <c r="H881">
        <v>0</v>
      </c>
      <c r="I881" s="8"/>
      <c r="J881" s="8"/>
      <c r="K881" s="8"/>
      <c r="L881" s="8"/>
      <c r="M881" s="8"/>
      <c r="N881" s="8"/>
    </row>
    <row r="882" spans="1:14" x14ac:dyDescent="0.2">
      <c r="A882">
        <v>952</v>
      </c>
      <c r="B882">
        <v>9008</v>
      </c>
      <c r="C882" t="s">
        <v>953</v>
      </c>
      <c r="D882">
        <v>0</v>
      </c>
      <c r="E882" s="8">
        <v>0</v>
      </c>
      <c r="F882">
        <v>0</v>
      </c>
      <c r="G882">
        <v>504369.86</v>
      </c>
      <c r="H882">
        <v>504369.86</v>
      </c>
      <c r="I882" s="8"/>
      <c r="J882" s="8"/>
      <c r="K882" s="8"/>
      <c r="L882" s="8"/>
      <c r="M882" s="8"/>
      <c r="N882" s="8"/>
    </row>
    <row r="883" spans="1:14" x14ac:dyDescent="0.2">
      <c r="A883">
        <v>952</v>
      </c>
      <c r="B883">
        <v>9009</v>
      </c>
      <c r="C883" t="s">
        <v>954</v>
      </c>
      <c r="D883">
        <v>0</v>
      </c>
      <c r="E883" s="8">
        <v>0</v>
      </c>
      <c r="F883">
        <v>0</v>
      </c>
      <c r="G883">
        <v>835446.35</v>
      </c>
      <c r="H883">
        <v>835446.35</v>
      </c>
      <c r="I883" s="8"/>
      <c r="J883" s="8"/>
      <c r="K883" s="8"/>
      <c r="L883" s="8"/>
      <c r="M883" s="8"/>
      <c r="N883" s="8"/>
    </row>
    <row r="884" spans="1:14" x14ac:dyDescent="0.2">
      <c r="A884">
        <v>952</v>
      </c>
      <c r="B884">
        <v>9010</v>
      </c>
      <c r="C884" t="s">
        <v>955</v>
      </c>
      <c r="D884">
        <v>0</v>
      </c>
      <c r="E884" s="8">
        <v>0</v>
      </c>
      <c r="F884">
        <v>0</v>
      </c>
      <c r="G884">
        <v>507694.28</v>
      </c>
      <c r="H884">
        <v>507694.28</v>
      </c>
      <c r="I884" s="8"/>
      <c r="J884" s="8"/>
      <c r="K884" s="8"/>
      <c r="L884" s="8"/>
      <c r="M884" s="8"/>
      <c r="N884" s="8"/>
    </row>
    <row r="885" spans="1:14" x14ac:dyDescent="0.2">
      <c r="A885">
        <v>952</v>
      </c>
      <c r="B885">
        <v>9012</v>
      </c>
      <c r="C885" t="s">
        <v>947</v>
      </c>
      <c r="D885">
        <v>0</v>
      </c>
      <c r="E885" s="8">
        <v>645762.5</v>
      </c>
      <c r="F885">
        <v>0</v>
      </c>
      <c r="G885">
        <v>623800.06999999995</v>
      </c>
      <c r="H885">
        <v>623800.06999999995</v>
      </c>
      <c r="I885" s="8"/>
      <c r="J885" s="8"/>
      <c r="K885" s="8"/>
      <c r="L885" s="8"/>
      <c r="M885" s="8"/>
      <c r="N885" s="8"/>
    </row>
    <row r="886" spans="1:14" x14ac:dyDescent="0.2">
      <c r="A886">
        <v>952</v>
      </c>
      <c r="B886">
        <v>9013</v>
      </c>
      <c r="C886" t="s">
        <v>704</v>
      </c>
      <c r="D886">
        <v>0</v>
      </c>
      <c r="E886" s="8">
        <v>0</v>
      </c>
      <c r="F886">
        <v>0</v>
      </c>
      <c r="G886">
        <v>0</v>
      </c>
      <c r="H886">
        <v>0</v>
      </c>
      <c r="I886" s="8"/>
      <c r="J886" s="8"/>
      <c r="K886" s="8"/>
      <c r="L886" s="8"/>
      <c r="M886" s="8"/>
      <c r="N886" s="8"/>
    </row>
    <row r="887" spans="1:14" x14ac:dyDescent="0.2">
      <c r="A887">
        <v>952</v>
      </c>
      <c r="B887">
        <v>9015</v>
      </c>
      <c r="C887" t="s">
        <v>956</v>
      </c>
      <c r="D887">
        <v>0</v>
      </c>
      <c r="E887" s="8">
        <v>1250367.1299999999</v>
      </c>
      <c r="F887">
        <v>0</v>
      </c>
      <c r="G887">
        <v>400000</v>
      </c>
      <c r="H887">
        <v>400000</v>
      </c>
      <c r="I887" s="8"/>
      <c r="J887" s="8"/>
      <c r="K887" s="8"/>
      <c r="L887" s="8"/>
      <c r="M887" s="8"/>
      <c r="N887" s="8"/>
    </row>
    <row r="888" spans="1:14" x14ac:dyDescent="0.2">
      <c r="A888">
        <v>952</v>
      </c>
      <c r="B888">
        <v>9016</v>
      </c>
      <c r="C888" t="s">
        <v>957</v>
      </c>
      <c r="D888">
        <v>0</v>
      </c>
      <c r="E888" s="8">
        <v>987314.19</v>
      </c>
      <c r="F888">
        <v>0</v>
      </c>
      <c r="G888">
        <v>958226.16</v>
      </c>
      <c r="H888">
        <v>958226.16</v>
      </c>
      <c r="I888" s="8"/>
      <c r="J888" s="8"/>
      <c r="K888" s="8"/>
      <c r="L888" s="8"/>
      <c r="M888" s="8"/>
      <c r="N888" s="8"/>
    </row>
    <row r="889" spans="1:14" x14ac:dyDescent="0.2">
      <c r="A889">
        <v>952</v>
      </c>
      <c r="B889">
        <v>9017</v>
      </c>
      <c r="C889" t="s">
        <v>958</v>
      </c>
      <c r="D889">
        <v>0</v>
      </c>
      <c r="E889" s="8">
        <v>0</v>
      </c>
      <c r="F889">
        <v>0</v>
      </c>
      <c r="G889">
        <v>0</v>
      </c>
      <c r="H889">
        <v>0</v>
      </c>
    </row>
    <row r="890" spans="1:14" x14ac:dyDescent="0.2">
      <c r="A890">
        <v>952</v>
      </c>
      <c r="B890">
        <v>9018</v>
      </c>
      <c r="C890" t="s">
        <v>959</v>
      </c>
      <c r="D890">
        <v>0</v>
      </c>
      <c r="E890" s="8">
        <v>0</v>
      </c>
      <c r="F890">
        <v>0</v>
      </c>
      <c r="G890">
        <v>300000</v>
      </c>
      <c r="H890">
        <v>300000</v>
      </c>
    </row>
    <row r="891" spans="1:14" x14ac:dyDescent="0.2">
      <c r="A891">
        <v>952</v>
      </c>
      <c r="B891">
        <v>9019</v>
      </c>
      <c r="C891" t="s">
        <v>960</v>
      </c>
      <c r="D891">
        <v>0</v>
      </c>
      <c r="E891" s="8">
        <v>24895.33</v>
      </c>
      <c r="F891">
        <v>0</v>
      </c>
      <c r="G891">
        <v>23953.1</v>
      </c>
      <c r="H891">
        <v>23953.1</v>
      </c>
    </row>
    <row r="892" spans="1:14" x14ac:dyDescent="0.2">
      <c r="A892">
        <v>952</v>
      </c>
      <c r="B892">
        <v>9020</v>
      </c>
      <c r="C892" t="s">
        <v>961</v>
      </c>
      <c r="D892">
        <v>7855.98</v>
      </c>
      <c r="E892" s="8">
        <v>1076199.04</v>
      </c>
      <c r="F892">
        <v>0</v>
      </c>
      <c r="G892">
        <v>0</v>
      </c>
      <c r="H892">
        <v>0</v>
      </c>
    </row>
    <row r="893" spans="1:14" x14ac:dyDescent="0.2">
      <c r="A893">
        <v>952</v>
      </c>
      <c r="B893">
        <v>9021</v>
      </c>
      <c r="C893" t="s">
        <v>60</v>
      </c>
      <c r="D893">
        <v>0</v>
      </c>
      <c r="E893" s="8">
        <v>0</v>
      </c>
      <c r="F893">
        <v>0</v>
      </c>
      <c r="G893">
        <v>0</v>
      </c>
      <c r="H893">
        <v>0</v>
      </c>
    </row>
    <row r="894" spans="1:14" x14ac:dyDescent="0.2">
      <c r="A894">
        <v>952</v>
      </c>
      <c r="B894">
        <v>9022</v>
      </c>
      <c r="C894" t="s">
        <v>706</v>
      </c>
      <c r="D894">
        <v>0</v>
      </c>
      <c r="E894" s="8">
        <v>0</v>
      </c>
      <c r="F894">
        <v>0</v>
      </c>
      <c r="G894">
        <v>537140.92000000004</v>
      </c>
      <c r="H894">
        <v>537140.92000000004</v>
      </c>
    </row>
    <row r="895" spans="1:14" x14ac:dyDescent="0.2">
      <c r="A895">
        <v>952</v>
      </c>
      <c r="B895">
        <v>9023</v>
      </c>
      <c r="C895" t="s">
        <v>61</v>
      </c>
      <c r="D895">
        <v>0</v>
      </c>
      <c r="E895" s="8">
        <v>0</v>
      </c>
      <c r="F895">
        <v>0</v>
      </c>
      <c r="G895">
        <v>0</v>
      </c>
      <c r="H895">
        <v>0</v>
      </c>
    </row>
    <row r="896" spans="1:14" s="8" customFormat="1" x14ac:dyDescent="0.2">
      <c r="A896" s="8">
        <v>952</v>
      </c>
      <c r="B896" s="8">
        <v>9024</v>
      </c>
      <c r="C896" s="8" t="s">
        <v>705</v>
      </c>
      <c r="D896" s="8">
        <v>0</v>
      </c>
      <c r="E896" s="8">
        <v>0</v>
      </c>
      <c r="F896" s="8">
        <v>0</v>
      </c>
      <c r="G896" s="8">
        <v>0</v>
      </c>
      <c r="H896" s="8">
        <v>0</v>
      </c>
    </row>
    <row r="897" spans="1:8" s="8" customFormat="1" x14ac:dyDescent="0.2">
      <c r="A897" s="8">
        <v>952</v>
      </c>
      <c r="B897" s="8">
        <v>9029</v>
      </c>
      <c r="C897" s="8" t="s">
        <v>707</v>
      </c>
      <c r="D897" s="8">
        <v>0</v>
      </c>
      <c r="E897" s="8">
        <v>1912.66</v>
      </c>
      <c r="F897" s="8">
        <v>0</v>
      </c>
      <c r="G897" s="8">
        <v>1912.66</v>
      </c>
      <c r="H897" s="8">
        <v>1912.66</v>
      </c>
    </row>
    <row r="898" spans="1:8" s="8" customFormat="1" x14ac:dyDescent="0.2">
      <c r="A898" s="8">
        <v>952</v>
      </c>
      <c r="B898" s="8">
        <v>9030</v>
      </c>
      <c r="C898" s="8" t="s">
        <v>708</v>
      </c>
      <c r="D898" s="8">
        <v>41886.14</v>
      </c>
      <c r="E898" s="8">
        <v>88151.53</v>
      </c>
      <c r="F898" s="8">
        <v>0</v>
      </c>
      <c r="G898" s="8">
        <v>100408.32000000001</v>
      </c>
      <c r="H898" s="8">
        <v>100408.32000000001</v>
      </c>
    </row>
    <row r="899" spans="1:8" s="8" customFormat="1" x14ac:dyDescent="0.2">
      <c r="A899" s="8">
        <v>952</v>
      </c>
      <c r="B899" s="8">
        <v>9035</v>
      </c>
      <c r="C899" s="8" t="s">
        <v>709</v>
      </c>
      <c r="D899" s="8">
        <v>0</v>
      </c>
      <c r="E899" s="8">
        <v>0</v>
      </c>
      <c r="F899" s="8">
        <v>0</v>
      </c>
      <c r="G899" s="8">
        <v>0</v>
      </c>
      <c r="H899" s="8">
        <v>0</v>
      </c>
    </row>
    <row r="900" spans="1:8" s="8" customFormat="1" x14ac:dyDescent="0.2">
      <c r="A900" s="8">
        <v>952</v>
      </c>
      <c r="B900" s="8">
        <v>9040</v>
      </c>
      <c r="C900" s="8" t="s">
        <v>710</v>
      </c>
      <c r="D900" s="8">
        <v>-3680.55</v>
      </c>
      <c r="E900" s="8">
        <v>-44846.06</v>
      </c>
      <c r="F900" s="8">
        <v>0</v>
      </c>
      <c r="G900" s="8">
        <v>-19250.87</v>
      </c>
      <c r="H900" s="8">
        <v>-19250.87</v>
      </c>
    </row>
    <row r="901" spans="1:8" s="8" customFormat="1" x14ac:dyDescent="0.2">
      <c r="A901" s="8">
        <v>952</v>
      </c>
      <c r="B901" s="8">
        <v>9112</v>
      </c>
      <c r="C901" s="8" t="s">
        <v>235</v>
      </c>
      <c r="D901" s="8">
        <v>48777.18</v>
      </c>
      <c r="E901" s="8">
        <v>48777.18</v>
      </c>
      <c r="F901" s="8">
        <v>0</v>
      </c>
      <c r="G901" s="8">
        <v>35443.14</v>
      </c>
      <c r="H901" s="8">
        <v>35443.14</v>
      </c>
    </row>
    <row r="902" spans="1:8" s="8" customFormat="1" x14ac:dyDescent="0.2">
      <c r="A902" s="8">
        <v>952</v>
      </c>
      <c r="B902" s="8">
        <v>9114</v>
      </c>
      <c r="C902" s="8" t="s">
        <v>1328</v>
      </c>
      <c r="D902" s="8">
        <v>0</v>
      </c>
      <c r="E902" s="8">
        <v>3607.56</v>
      </c>
      <c r="F902" s="8">
        <v>0</v>
      </c>
      <c r="G902" s="8">
        <v>0</v>
      </c>
      <c r="H902" s="8">
        <v>0</v>
      </c>
    </row>
    <row r="903" spans="1:8" x14ac:dyDescent="0.2">
      <c r="A903">
        <v>952</v>
      </c>
      <c r="B903">
        <v>9115</v>
      </c>
      <c r="C903" t="s">
        <v>862</v>
      </c>
      <c r="D903">
        <v>6908.71</v>
      </c>
      <c r="E903" s="8">
        <v>6908.71</v>
      </c>
      <c r="F903">
        <v>0</v>
      </c>
      <c r="G903">
        <v>44385.21</v>
      </c>
      <c r="H903">
        <v>44385.21</v>
      </c>
    </row>
    <row r="904" spans="1:8" x14ac:dyDescent="0.2">
      <c r="A904">
        <v>952</v>
      </c>
      <c r="B904" t="s">
        <v>711</v>
      </c>
      <c r="C904" t="s">
        <v>712</v>
      </c>
      <c r="D904">
        <v>625600</v>
      </c>
      <c r="E904" s="8">
        <v>625600</v>
      </c>
      <c r="F904">
        <v>0</v>
      </c>
      <c r="G904">
        <v>528914.47</v>
      </c>
      <c r="H904">
        <v>528914.47</v>
      </c>
    </row>
    <row r="905" spans="1:8" x14ac:dyDescent="0.2">
      <c r="A905">
        <v>952</v>
      </c>
      <c r="B905">
        <v>9116</v>
      </c>
      <c r="C905" t="s">
        <v>962</v>
      </c>
      <c r="D905">
        <v>-558.82000000000005</v>
      </c>
      <c r="E905" s="8">
        <v>48615.98</v>
      </c>
      <c r="F905">
        <v>0</v>
      </c>
      <c r="G905">
        <v>51601.04</v>
      </c>
      <c r="H905">
        <v>51601.04</v>
      </c>
    </row>
    <row r="906" spans="1:8" x14ac:dyDescent="0.2">
      <c r="A906">
        <v>952</v>
      </c>
      <c r="B906">
        <v>9117</v>
      </c>
      <c r="C906" t="s">
        <v>822</v>
      </c>
      <c r="D906">
        <v>4797.8</v>
      </c>
      <c r="E906" s="8">
        <v>80261.960000000006</v>
      </c>
      <c r="F906">
        <v>0</v>
      </c>
      <c r="G906">
        <v>75226.78</v>
      </c>
      <c r="H906">
        <v>75226.78</v>
      </c>
    </row>
    <row r="907" spans="1:8" x14ac:dyDescent="0.2">
      <c r="A907">
        <v>952</v>
      </c>
      <c r="B907">
        <v>9118</v>
      </c>
      <c r="C907" t="s">
        <v>1213</v>
      </c>
      <c r="D907">
        <v>-6671.73</v>
      </c>
      <c r="E907" s="8">
        <v>10948.83</v>
      </c>
      <c r="F907">
        <v>0</v>
      </c>
      <c r="G907">
        <v>17620.560000000001</v>
      </c>
      <c r="H907">
        <v>17620.560000000001</v>
      </c>
    </row>
    <row r="908" spans="1:8" x14ac:dyDescent="0.2">
      <c r="A908">
        <v>952</v>
      </c>
      <c r="B908">
        <v>9120</v>
      </c>
      <c r="C908" t="s">
        <v>713</v>
      </c>
      <c r="D908">
        <v>0</v>
      </c>
      <c r="E908" s="8">
        <v>249776.25</v>
      </c>
      <c r="F908">
        <v>0</v>
      </c>
      <c r="G908">
        <v>288850</v>
      </c>
      <c r="H908">
        <v>288850</v>
      </c>
    </row>
    <row r="909" spans="1:8" x14ac:dyDescent="0.2">
      <c r="A909">
        <v>952</v>
      </c>
      <c r="B909">
        <v>9121</v>
      </c>
      <c r="C909" t="s">
        <v>714</v>
      </c>
      <c r="D909">
        <v>0</v>
      </c>
      <c r="E909" s="8">
        <v>0</v>
      </c>
      <c r="F909">
        <v>0</v>
      </c>
      <c r="G909">
        <v>0</v>
      </c>
      <c r="H909">
        <v>0</v>
      </c>
    </row>
    <row r="910" spans="1:8" x14ac:dyDescent="0.2">
      <c r="A910">
        <v>952</v>
      </c>
      <c r="B910">
        <v>9127</v>
      </c>
      <c r="C910" t="s">
        <v>715</v>
      </c>
      <c r="D910">
        <v>-391.8</v>
      </c>
      <c r="E910" s="8">
        <v>3142.81</v>
      </c>
      <c r="F910">
        <v>0</v>
      </c>
      <c r="G910">
        <v>3534.61</v>
      </c>
      <c r="H910">
        <v>3534.61</v>
      </c>
    </row>
    <row r="911" spans="1:8" x14ac:dyDescent="0.2">
      <c r="A911">
        <v>952</v>
      </c>
      <c r="B911">
        <v>9300</v>
      </c>
      <c r="C911" t="s">
        <v>716</v>
      </c>
      <c r="D911">
        <v>-36476.559999999998</v>
      </c>
      <c r="E911" s="8">
        <v>-77628.91</v>
      </c>
      <c r="F911">
        <v>0</v>
      </c>
      <c r="G911">
        <v>-100722.94</v>
      </c>
      <c r="H911">
        <v>-100722.94</v>
      </c>
    </row>
    <row r="912" spans="1:8" x14ac:dyDescent="0.2">
      <c r="A912">
        <v>952</v>
      </c>
      <c r="B912">
        <v>9318</v>
      </c>
      <c r="C912" t="s">
        <v>963</v>
      </c>
      <c r="D912">
        <v>-25265.21</v>
      </c>
      <c r="E912" s="8">
        <v>-126143.21</v>
      </c>
      <c r="F912">
        <v>0</v>
      </c>
      <c r="G912">
        <v>-100878</v>
      </c>
      <c r="H912">
        <v>-100878</v>
      </c>
    </row>
    <row r="913" spans="1:8" x14ac:dyDescent="0.2">
      <c r="A913">
        <v>952</v>
      </c>
      <c r="B913">
        <v>9319</v>
      </c>
      <c r="C913" t="s">
        <v>717</v>
      </c>
      <c r="D913">
        <v>0</v>
      </c>
      <c r="E913" s="8">
        <v>-7036.88</v>
      </c>
      <c r="F913">
        <v>0</v>
      </c>
      <c r="G913">
        <v>-7145.38</v>
      </c>
      <c r="H913">
        <v>-7145.38</v>
      </c>
    </row>
    <row r="914" spans="1:8" x14ac:dyDescent="0.2">
      <c r="A914">
        <v>952</v>
      </c>
      <c r="B914">
        <v>9320</v>
      </c>
      <c r="C914" t="s">
        <v>863</v>
      </c>
      <c r="D914">
        <v>-39221.53</v>
      </c>
      <c r="E914" s="8">
        <v>-39221.53</v>
      </c>
      <c r="F914">
        <v>0</v>
      </c>
      <c r="G914">
        <v>-44907.82</v>
      </c>
      <c r="H914">
        <v>-44907.82</v>
      </c>
    </row>
    <row r="915" spans="1:8" x14ac:dyDescent="0.2">
      <c r="A915">
        <v>952</v>
      </c>
      <c r="B915" t="s">
        <v>718</v>
      </c>
      <c r="C915" t="s">
        <v>712</v>
      </c>
      <c r="D915">
        <v>-625600</v>
      </c>
      <c r="E915" s="8">
        <v>-625600</v>
      </c>
      <c r="F915">
        <v>0</v>
      </c>
      <c r="G915">
        <v>-528914.47</v>
      </c>
      <c r="H915">
        <v>-528914.47</v>
      </c>
    </row>
    <row r="916" spans="1:8" x14ac:dyDescent="0.2">
      <c r="A916">
        <v>952</v>
      </c>
      <c r="B916">
        <v>9329</v>
      </c>
      <c r="C916" t="s">
        <v>719</v>
      </c>
      <c r="D916">
        <v>0</v>
      </c>
      <c r="E916" s="8">
        <v>0</v>
      </c>
      <c r="F916">
        <v>0</v>
      </c>
      <c r="G916">
        <v>0</v>
      </c>
      <c r="H916">
        <v>0</v>
      </c>
    </row>
    <row r="917" spans="1:8" x14ac:dyDescent="0.2">
      <c r="A917">
        <v>952</v>
      </c>
      <c r="B917">
        <v>9331</v>
      </c>
      <c r="C917" t="s">
        <v>1214</v>
      </c>
      <c r="D917">
        <v>0</v>
      </c>
      <c r="E917" s="8">
        <v>-17963.759999999998</v>
      </c>
      <c r="F917">
        <v>0</v>
      </c>
      <c r="G917">
        <v>-17963.759999999998</v>
      </c>
      <c r="H917">
        <v>-17963.759999999998</v>
      </c>
    </row>
    <row r="918" spans="1:8" x14ac:dyDescent="0.2">
      <c r="A918">
        <v>952</v>
      </c>
      <c r="B918">
        <v>9332</v>
      </c>
      <c r="C918" t="s">
        <v>1215</v>
      </c>
      <c r="D918">
        <v>0</v>
      </c>
      <c r="E918" s="8">
        <v>-660</v>
      </c>
      <c r="F918">
        <v>0</v>
      </c>
      <c r="G918">
        <v>-660</v>
      </c>
      <c r="H918">
        <v>-660</v>
      </c>
    </row>
    <row r="919" spans="1:8" x14ac:dyDescent="0.2">
      <c r="A919">
        <v>952</v>
      </c>
      <c r="B919">
        <v>9345</v>
      </c>
      <c r="C919" t="s">
        <v>1216</v>
      </c>
      <c r="D919">
        <v>-2416.86</v>
      </c>
      <c r="E919" s="8">
        <v>-30087.85</v>
      </c>
      <c r="F919">
        <v>0</v>
      </c>
      <c r="G919">
        <v>-14826.82</v>
      </c>
      <c r="H919">
        <v>-14826.82</v>
      </c>
    </row>
    <row r="920" spans="1:8" x14ac:dyDescent="0.2">
      <c r="A920">
        <v>952</v>
      </c>
      <c r="B920">
        <v>9350</v>
      </c>
      <c r="C920" t="s">
        <v>720</v>
      </c>
      <c r="D920">
        <v>0</v>
      </c>
      <c r="E920" s="8">
        <v>0</v>
      </c>
      <c r="F920">
        <v>0</v>
      </c>
      <c r="G920">
        <v>0</v>
      </c>
      <c r="H920">
        <v>0</v>
      </c>
    </row>
    <row r="921" spans="1:8" x14ac:dyDescent="0.2">
      <c r="A921">
        <v>952</v>
      </c>
      <c r="B921">
        <v>9370</v>
      </c>
      <c r="C921" t="s">
        <v>721</v>
      </c>
      <c r="D921">
        <v>0</v>
      </c>
      <c r="E921" s="8">
        <v>2464308.6800000002</v>
      </c>
      <c r="F921">
        <v>2464309</v>
      </c>
      <c r="G921">
        <v>2257134.86</v>
      </c>
      <c r="H921">
        <v>2257134.86</v>
      </c>
    </row>
    <row r="922" spans="1:8" x14ac:dyDescent="0.2">
      <c r="A922">
        <v>952</v>
      </c>
      <c r="B922">
        <v>9388</v>
      </c>
      <c r="C922" t="s">
        <v>1217</v>
      </c>
      <c r="D922">
        <v>0</v>
      </c>
      <c r="E922" s="8">
        <v>0</v>
      </c>
      <c r="F922">
        <v>0</v>
      </c>
      <c r="G922">
        <v>0</v>
      </c>
      <c r="H922">
        <v>0</v>
      </c>
    </row>
    <row r="923" spans="1:8" x14ac:dyDescent="0.2">
      <c r="A923">
        <v>952</v>
      </c>
      <c r="B923">
        <v>9391</v>
      </c>
      <c r="C923" t="s">
        <v>62</v>
      </c>
      <c r="D923">
        <v>0</v>
      </c>
      <c r="E923" s="8">
        <v>0</v>
      </c>
      <c r="F923">
        <v>0</v>
      </c>
      <c r="G923">
        <v>0</v>
      </c>
      <c r="H923">
        <v>0</v>
      </c>
    </row>
    <row r="924" spans="1:8" x14ac:dyDescent="0.2">
      <c r="A924">
        <v>952</v>
      </c>
      <c r="B924">
        <v>9400</v>
      </c>
      <c r="C924" t="s">
        <v>722</v>
      </c>
      <c r="D924">
        <v>0</v>
      </c>
      <c r="E924" s="8">
        <v>0</v>
      </c>
      <c r="F924">
        <v>0</v>
      </c>
      <c r="G924">
        <v>0</v>
      </c>
      <c r="H924">
        <v>0</v>
      </c>
    </row>
    <row r="925" spans="1:8" x14ac:dyDescent="0.2">
      <c r="A925">
        <v>952</v>
      </c>
      <c r="B925">
        <v>9429</v>
      </c>
      <c r="C925" t="s">
        <v>719</v>
      </c>
      <c r="D925">
        <v>-15316</v>
      </c>
      <c r="E925" s="8">
        <v>-121122</v>
      </c>
      <c r="F925">
        <v>0</v>
      </c>
      <c r="G925">
        <v>-98311</v>
      </c>
      <c r="H925">
        <v>-98311</v>
      </c>
    </row>
    <row r="926" spans="1:8" x14ac:dyDescent="0.2">
      <c r="A926">
        <v>952</v>
      </c>
      <c r="B926">
        <v>9431</v>
      </c>
      <c r="C926" t="s">
        <v>1218</v>
      </c>
      <c r="D926">
        <v>1496.98</v>
      </c>
      <c r="E926" s="8">
        <v>-49400.37</v>
      </c>
      <c r="F926">
        <v>0</v>
      </c>
      <c r="G926">
        <v>-67364.11</v>
      </c>
      <c r="H926">
        <v>-67364.11</v>
      </c>
    </row>
    <row r="927" spans="1:8" x14ac:dyDescent="0.2">
      <c r="A927">
        <v>952</v>
      </c>
      <c r="B927">
        <v>9432</v>
      </c>
      <c r="C927" t="s">
        <v>1215</v>
      </c>
      <c r="D927">
        <v>55</v>
      </c>
      <c r="E927" s="8">
        <v>-385</v>
      </c>
      <c r="F927">
        <v>0</v>
      </c>
      <c r="G927">
        <v>-1045</v>
      </c>
      <c r="H927">
        <v>-1045</v>
      </c>
    </row>
    <row r="928" spans="1:8" x14ac:dyDescent="0.2">
      <c r="A928">
        <v>952</v>
      </c>
      <c r="B928">
        <v>9445</v>
      </c>
      <c r="C928" t="s">
        <v>1219</v>
      </c>
      <c r="D928">
        <v>803.42</v>
      </c>
      <c r="E928" s="8">
        <v>-30158.46</v>
      </c>
      <c r="F928">
        <v>0</v>
      </c>
      <c r="G928">
        <v>-24292.17</v>
      </c>
      <c r="H928">
        <v>-24292.17</v>
      </c>
    </row>
    <row r="929" spans="1:8" x14ac:dyDescent="0.2">
      <c r="A929">
        <v>952</v>
      </c>
      <c r="B929">
        <v>9500</v>
      </c>
      <c r="C929" t="s">
        <v>723</v>
      </c>
      <c r="D929">
        <v>0</v>
      </c>
      <c r="E929" s="8">
        <v>-9803608.7899999991</v>
      </c>
      <c r="F929">
        <v>0</v>
      </c>
      <c r="G929">
        <v>-8851248.3300000001</v>
      </c>
      <c r="H929">
        <v>-8851248.3300000001</v>
      </c>
    </row>
    <row r="930" spans="1:8" x14ac:dyDescent="0.2">
      <c r="A930">
        <v>952</v>
      </c>
      <c r="B930">
        <v>9501</v>
      </c>
      <c r="C930" t="s">
        <v>724</v>
      </c>
      <c r="D930">
        <v>0</v>
      </c>
      <c r="E930" s="8">
        <v>0</v>
      </c>
      <c r="F930">
        <v>0</v>
      </c>
      <c r="G930">
        <v>-63649.3</v>
      </c>
      <c r="H930">
        <v>-63649.3</v>
      </c>
    </row>
    <row r="931" spans="1:8" x14ac:dyDescent="0.2">
      <c r="A931">
        <v>952</v>
      </c>
      <c r="B931">
        <v>9600</v>
      </c>
      <c r="C931" t="s">
        <v>725</v>
      </c>
      <c r="D931">
        <v>0</v>
      </c>
      <c r="E931" s="8">
        <v>0</v>
      </c>
      <c r="F931">
        <v>0</v>
      </c>
      <c r="G931">
        <v>0</v>
      </c>
      <c r="H931">
        <v>0</v>
      </c>
    </row>
    <row r="932" spans="1:8" x14ac:dyDescent="0.2">
      <c r="A932">
        <v>952</v>
      </c>
      <c r="B932">
        <v>9601</v>
      </c>
      <c r="C932" t="s">
        <v>923</v>
      </c>
      <c r="D932">
        <v>0</v>
      </c>
      <c r="E932" s="8">
        <v>-96.55</v>
      </c>
      <c r="F932">
        <v>0</v>
      </c>
      <c r="G932">
        <v>-96.55</v>
      </c>
      <c r="H932">
        <v>-96.55</v>
      </c>
    </row>
    <row r="933" spans="1:8" x14ac:dyDescent="0.2">
      <c r="A933">
        <v>952</v>
      </c>
      <c r="B933">
        <v>9602</v>
      </c>
      <c r="C933" t="s">
        <v>726</v>
      </c>
      <c r="D933">
        <v>0</v>
      </c>
      <c r="E933" s="8">
        <v>0</v>
      </c>
      <c r="F933">
        <v>0</v>
      </c>
      <c r="G933">
        <v>0</v>
      </c>
      <c r="H933">
        <v>0</v>
      </c>
    </row>
    <row r="934" spans="1:8" x14ac:dyDescent="0.2">
      <c r="A934">
        <v>952</v>
      </c>
      <c r="B934">
        <v>9603</v>
      </c>
      <c r="C934" t="s">
        <v>727</v>
      </c>
      <c r="D934">
        <v>0</v>
      </c>
      <c r="E934" s="8">
        <v>1302.77</v>
      </c>
      <c r="F934">
        <v>0</v>
      </c>
      <c r="G934">
        <v>1302.77</v>
      </c>
      <c r="H934">
        <v>1302.77</v>
      </c>
    </row>
    <row r="935" spans="1:8" x14ac:dyDescent="0.2">
      <c r="A935">
        <v>952</v>
      </c>
      <c r="B935">
        <v>9604</v>
      </c>
      <c r="C935" t="s">
        <v>728</v>
      </c>
      <c r="D935">
        <v>553683.82999999996</v>
      </c>
      <c r="E935" s="8">
        <v>0</v>
      </c>
      <c r="F935">
        <v>0</v>
      </c>
      <c r="G935">
        <v>0</v>
      </c>
      <c r="H935">
        <v>0</v>
      </c>
    </row>
    <row r="936" spans="1:8" x14ac:dyDescent="0.2">
      <c r="A936">
        <v>952</v>
      </c>
      <c r="B936">
        <v>9605</v>
      </c>
      <c r="C936" t="s">
        <v>729</v>
      </c>
      <c r="D936">
        <v>0</v>
      </c>
      <c r="E936" s="8">
        <v>0</v>
      </c>
      <c r="F936">
        <v>0</v>
      </c>
      <c r="G936">
        <v>0</v>
      </c>
      <c r="H936">
        <v>0</v>
      </c>
    </row>
    <row r="937" spans="1:8" x14ac:dyDescent="0.2">
      <c r="A937">
        <v>952</v>
      </c>
      <c r="B937">
        <v>9606</v>
      </c>
      <c r="C937" t="s">
        <v>898</v>
      </c>
      <c r="D937">
        <v>5203.17</v>
      </c>
      <c r="E937" s="8">
        <v>-76.28</v>
      </c>
      <c r="F937">
        <v>0</v>
      </c>
      <c r="G937">
        <v>2455.5</v>
      </c>
      <c r="H937">
        <v>2455.5</v>
      </c>
    </row>
    <row r="938" spans="1:8" x14ac:dyDescent="0.2">
      <c r="A938">
        <v>952</v>
      </c>
      <c r="B938">
        <v>9607</v>
      </c>
      <c r="C938" t="s">
        <v>644</v>
      </c>
      <c r="D938">
        <v>0</v>
      </c>
      <c r="E938" s="8">
        <v>0</v>
      </c>
      <c r="F938">
        <v>0</v>
      </c>
      <c r="G938">
        <v>0</v>
      </c>
      <c r="H938">
        <v>0</v>
      </c>
    </row>
    <row r="939" spans="1:8" x14ac:dyDescent="0.2">
      <c r="A939">
        <v>952</v>
      </c>
      <c r="B939">
        <v>9608</v>
      </c>
      <c r="C939" t="s">
        <v>730</v>
      </c>
      <c r="D939">
        <v>0</v>
      </c>
      <c r="E939" s="8">
        <v>0</v>
      </c>
      <c r="F939">
        <v>0</v>
      </c>
      <c r="G939">
        <v>0</v>
      </c>
      <c r="H939">
        <v>0</v>
      </c>
    </row>
    <row r="940" spans="1:8" x14ac:dyDescent="0.2">
      <c r="A940">
        <v>952</v>
      </c>
      <c r="B940">
        <v>9609</v>
      </c>
      <c r="C940" t="s">
        <v>731</v>
      </c>
      <c r="D940">
        <v>0</v>
      </c>
      <c r="E940" s="8">
        <v>556.27</v>
      </c>
      <c r="F940">
        <v>0</v>
      </c>
      <c r="G940">
        <v>556.27</v>
      </c>
      <c r="H940">
        <v>556.27</v>
      </c>
    </row>
    <row r="941" spans="1:8" x14ac:dyDescent="0.2">
      <c r="A941">
        <v>952</v>
      </c>
      <c r="B941">
        <v>9610</v>
      </c>
      <c r="C941" t="s">
        <v>964</v>
      </c>
      <c r="D941">
        <v>0</v>
      </c>
      <c r="E941" s="8">
        <v>-3259.98</v>
      </c>
      <c r="F941">
        <v>0</v>
      </c>
      <c r="G941">
        <v>-3499.43</v>
      </c>
      <c r="H941">
        <v>-3499.43</v>
      </c>
    </row>
    <row r="942" spans="1:8" x14ac:dyDescent="0.2">
      <c r="A942">
        <v>952</v>
      </c>
      <c r="B942">
        <v>9611</v>
      </c>
      <c r="C942" t="s">
        <v>965</v>
      </c>
      <c r="D942">
        <v>-3568.93</v>
      </c>
      <c r="E942" s="8">
        <v>-4751.96</v>
      </c>
      <c r="F942">
        <v>0</v>
      </c>
      <c r="G942">
        <v>-2072.66</v>
      </c>
      <c r="H942">
        <v>-2072.66</v>
      </c>
    </row>
    <row r="943" spans="1:8" x14ac:dyDescent="0.2">
      <c r="A943">
        <v>952</v>
      </c>
      <c r="B943">
        <v>9612</v>
      </c>
      <c r="C943" t="s">
        <v>966</v>
      </c>
      <c r="D943">
        <v>0</v>
      </c>
      <c r="E943" s="8">
        <v>-316.86</v>
      </c>
      <c r="F943">
        <v>0</v>
      </c>
      <c r="G943">
        <v>-316.86</v>
      </c>
      <c r="H943">
        <v>-316.86</v>
      </c>
    </row>
    <row r="944" spans="1:8" x14ac:dyDescent="0.2">
      <c r="A944">
        <v>952</v>
      </c>
      <c r="B944">
        <v>9613</v>
      </c>
      <c r="C944" t="s">
        <v>732</v>
      </c>
      <c r="D944">
        <v>-2650.21</v>
      </c>
      <c r="E944" s="8">
        <v>-2818.69</v>
      </c>
      <c r="F944">
        <v>0</v>
      </c>
      <c r="G944">
        <v>2131.9899999999998</v>
      </c>
      <c r="H944">
        <v>2131.9899999999998</v>
      </c>
    </row>
    <row r="945" spans="1:8" x14ac:dyDescent="0.2">
      <c r="A945">
        <v>952</v>
      </c>
      <c r="B945">
        <v>9614</v>
      </c>
      <c r="C945" t="s">
        <v>733</v>
      </c>
      <c r="D945">
        <v>0</v>
      </c>
      <c r="E945" s="8">
        <v>3732.14</v>
      </c>
      <c r="F945">
        <v>0</v>
      </c>
      <c r="G945">
        <v>-6972.86</v>
      </c>
      <c r="H945">
        <v>-6972.86</v>
      </c>
    </row>
    <row r="946" spans="1:8" x14ac:dyDescent="0.2">
      <c r="A946">
        <v>952</v>
      </c>
      <c r="B946">
        <v>9615</v>
      </c>
      <c r="C946" t="s">
        <v>927</v>
      </c>
      <c r="D946">
        <v>0</v>
      </c>
      <c r="E946" s="8">
        <v>-16845.7</v>
      </c>
      <c r="F946">
        <v>0</v>
      </c>
      <c r="G946">
        <v>-19905.919999999998</v>
      </c>
      <c r="H946">
        <v>-19905.919999999998</v>
      </c>
    </row>
    <row r="947" spans="1:8" x14ac:dyDescent="0.2">
      <c r="A947">
        <v>952</v>
      </c>
      <c r="B947">
        <v>9616</v>
      </c>
      <c r="C947" t="s">
        <v>279</v>
      </c>
      <c r="D947">
        <v>0</v>
      </c>
      <c r="E947" s="8">
        <v>740.43</v>
      </c>
      <c r="F947">
        <v>0</v>
      </c>
      <c r="G947">
        <v>1001.3</v>
      </c>
      <c r="H947">
        <v>1001.3</v>
      </c>
    </row>
    <row r="948" spans="1:8" s="8" customFormat="1" x14ac:dyDescent="0.2">
      <c r="A948" s="8">
        <v>952</v>
      </c>
      <c r="B948" s="8">
        <v>9617</v>
      </c>
      <c r="C948" s="8" t="s">
        <v>1329</v>
      </c>
      <c r="D948" s="8">
        <v>667.65</v>
      </c>
      <c r="E948" s="8">
        <v>-9031.52</v>
      </c>
      <c r="F948" s="8">
        <v>0</v>
      </c>
      <c r="G948" s="8">
        <v>0</v>
      </c>
      <c r="H948" s="8">
        <v>0</v>
      </c>
    </row>
    <row r="949" spans="1:8" x14ac:dyDescent="0.2">
      <c r="A949">
        <v>952</v>
      </c>
      <c r="B949">
        <v>9700</v>
      </c>
      <c r="C949" t="s">
        <v>734</v>
      </c>
      <c r="D949">
        <v>0</v>
      </c>
      <c r="E949" s="8">
        <v>0</v>
      </c>
      <c r="F949">
        <v>0</v>
      </c>
      <c r="G949">
        <v>0</v>
      </c>
      <c r="H949">
        <v>0</v>
      </c>
    </row>
    <row r="950" spans="1:8" x14ac:dyDescent="0.2">
      <c r="A950">
        <v>952</v>
      </c>
      <c r="B950">
        <v>9701</v>
      </c>
      <c r="C950" t="s">
        <v>967</v>
      </c>
      <c r="D950">
        <v>0</v>
      </c>
      <c r="E950" s="8">
        <v>-1034</v>
      </c>
      <c r="F950">
        <v>0</v>
      </c>
      <c r="G950">
        <v>-1034</v>
      </c>
      <c r="H950">
        <v>-1034</v>
      </c>
    </row>
    <row r="951" spans="1:8" x14ac:dyDescent="0.2">
      <c r="A951">
        <v>952</v>
      </c>
      <c r="B951">
        <v>9702</v>
      </c>
      <c r="C951" t="s">
        <v>968</v>
      </c>
      <c r="D951">
        <v>1500</v>
      </c>
      <c r="E951" s="8">
        <v>-10391.299999999999</v>
      </c>
      <c r="F951">
        <v>0</v>
      </c>
      <c r="G951">
        <v>-11891.3</v>
      </c>
      <c r="H951">
        <v>-11891.3</v>
      </c>
    </row>
    <row r="952" spans="1:8" x14ac:dyDescent="0.2">
      <c r="A952">
        <v>952</v>
      </c>
      <c r="B952">
        <v>9703</v>
      </c>
      <c r="C952" t="s">
        <v>969</v>
      </c>
      <c r="D952">
        <v>0</v>
      </c>
      <c r="E952" s="8">
        <v>-3213</v>
      </c>
      <c r="F952">
        <v>0</v>
      </c>
      <c r="G952">
        <v>-3213</v>
      </c>
      <c r="H952">
        <v>-3213</v>
      </c>
    </row>
    <row r="953" spans="1:8" x14ac:dyDescent="0.2">
      <c r="A953">
        <v>952</v>
      </c>
      <c r="B953">
        <v>9704</v>
      </c>
      <c r="C953" t="s">
        <v>970</v>
      </c>
      <c r="D953">
        <v>0</v>
      </c>
      <c r="E953" s="8">
        <v>-48500.959999999999</v>
      </c>
      <c r="F953">
        <v>0</v>
      </c>
      <c r="G953">
        <v>-48500.959999999999</v>
      </c>
      <c r="H953">
        <v>-48500.959999999999</v>
      </c>
    </row>
    <row r="954" spans="1:8" x14ac:dyDescent="0.2">
      <c r="A954">
        <v>952</v>
      </c>
      <c r="B954">
        <v>9705</v>
      </c>
      <c r="C954" t="s">
        <v>971</v>
      </c>
      <c r="D954">
        <v>0</v>
      </c>
      <c r="E954" s="8">
        <v>-89316</v>
      </c>
      <c r="F954">
        <v>0</v>
      </c>
      <c r="G954">
        <v>-89316</v>
      </c>
      <c r="H954">
        <v>-89316</v>
      </c>
    </row>
    <row r="955" spans="1:8" x14ac:dyDescent="0.2">
      <c r="A955">
        <v>952</v>
      </c>
      <c r="B955">
        <v>9706</v>
      </c>
      <c r="C955" t="s">
        <v>972</v>
      </c>
      <c r="D955">
        <v>0</v>
      </c>
      <c r="E955" s="8">
        <v>-29477.48</v>
      </c>
      <c r="F955">
        <v>0</v>
      </c>
      <c r="G955">
        <v>-29477.48</v>
      </c>
      <c r="H955">
        <v>-29477.48</v>
      </c>
    </row>
    <row r="956" spans="1:8" x14ac:dyDescent="0.2">
      <c r="A956">
        <v>952</v>
      </c>
      <c r="B956">
        <v>9707</v>
      </c>
      <c r="C956" t="s">
        <v>973</v>
      </c>
      <c r="D956">
        <v>0</v>
      </c>
      <c r="E956" s="8">
        <v>-548</v>
      </c>
      <c r="F956">
        <v>0</v>
      </c>
      <c r="G956">
        <v>-548</v>
      </c>
      <c r="H956">
        <v>-548</v>
      </c>
    </row>
    <row r="957" spans="1:8" x14ac:dyDescent="0.2">
      <c r="A957">
        <v>952</v>
      </c>
      <c r="B957">
        <v>9708</v>
      </c>
      <c r="C957" t="s">
        <v>974</v>
      </c>
      <c r="D957">
        <v>0</v>
      </c>
      <c r="E957" s="8">
        <v>-4513</v>
      </c>
      <c r="F957">
        <v>0</v>
      </c>
      <c r="G957">
        <v>-4513</v>
      </c>
      <c r="H957">
        <v>-4513</v>
      </c>
    </row>
    <row r="958" spans="1:8" x14ac:dyDescent="0.2">
      <c r="A958">
        <v>952</v>
      </c>
      <c r="B958">
        <v>9709</v>
      </c>
      <c r="C958" t="s">
        <v>975</v>
      </c>
      <c r="D958">
        <v>0</v>
      </c>
      <c r="E958" s="8">
        <v>0</v>
      </c>
      <c r="F958">
        <v>0</v>
      </c>
      <c r="G958">
        <v>0</v>
      </c>
      <c r="H958">
        <v>0</v>
      </c>
    </row>
    <row r="959" spans="1:8" x14ac:dyDescent="0.2">
      <c r="A959">
        <v>952</v>
      </c>
      <c r="B959">
        <v>9710</v>
      </c>
      <c r="C959" t="s">
        <v>976</v>
      </c>
      <c r="D959">
        <v>0</v>
      </c>
      <c r="E959" s="8">
        <v>-2951</v>
      </c>
      <c r="F959">
        <v>0</v>
      </c>
      <c r="G959">
        <v>-2951</v>
      </c>
      <c r="H959">
        <v>-2951</v>
      </c>
    </row>
    <row r="960" spans="1:8" x14ac:dyDescent="0.2">
      <c r="A960">
        <v>952</v>
      </c>
      <c r="B960">
        <v>9711</v>
      </c>
      <c r="C960" t="s">
        <v>977</v>
      </c>
      <c r="D960">
        <v>0</v>
      </c>
      <c r="E960" s="8">
        <v>-11422</v>
      </c>
      <c r="F960">
        <v>0</v>
      </c>
      <c r="G960">
        <v>-11422</v>
      </c>
      <c r="H960">
        <v>-11422</v>
      </c>
    </row>
    <row r="961" spans="1:8" x14ac:dyDescent="0.2">
      <c r="A961">
        <v>952</v>
      </c>
      <c r="B961">
        <v>9712</v>
      </c>
      <c r="C961" t="s">
        <v>978</v>
      </c>
      <c r="D961">
        <v>0</v>
      </c>
      <c r="E961" s="8">
        <v>-6661</v>
      </c>
      <c r="F961">
        <v>0</v>
      </c>
      <c r="G961">
        <v>-6661</v>
      </c>
      <c r="H961">
        <v>-6661</v>
      </c>
    </row>
    <row r="962" spans="1:8" x14ac:dyDescent="0.2">
      <c r="A962">
        <v>952</v>
      </c>
      <c r="B962">
        <v>9998</v>
      </c>
      <c r="C962" t="s">
        <v>735</v>
      </c>
      <c r="D962">
        <v>0</v>
      </c>
      <c r="E962" s="8">
        <v>0</v>
      </c>
      <c r="F962">
        <v>0</v>
      </c>
      <c r="G962">
        <v>0</v>
      </c>
      <c r="H962">
        <v>0</v>
      </c>
    </row>
    <row r="963" spans="1:8" x14ac:dyDescent="0.2">
      <c r="A963">
        <v>952</v>
      </c>
      <c r="B963">
        <v>9999</v>
      </c>
      <c r="C963" t="s">
        <v>736</v>
      </c>
      <c r="D963">
        <v>0</v>
      </c>
      <c r="E963" s="8">
        <v>0</v>
      </c>
      <c r="F963">
        <v>0</v>
      </c>
      <c r="G963">
        <v>0</v>
      </c>
      <c r="H963">
        <v>0</v>
      </c>
    </row>
    <row r="964" spans="1:8" x14ac:dyDescent="0.2">
      <c r="A964">
        <v>952</v>
      </c>
      <c r="B964" t="s">
        <v>737</v>
      </c>
      <c r="C964" t="s">
        <v>738</v>
      </c>
      <c r="D964">
        <v>0</v>
      </c>
      <c r="E964" s="8">
        <v>0</v>
      </c>
      <c r="F964">
        <v>0</v>
      </c>
      <c r="G964">
        <v>0</v>
      </c>
      <c r="H964">
        <v>0</v>
      </c>
    </row>
    <row r="965" spans="1:8" x14ac:dyDescent="0.2">
      <c r="A965">
        <v>952</v>
      </c>
      <c r="B965" t="s">
        <v>739</v>
      </c>
      <c r="C965" t="s">
        <v>740</v>
      </c>
      <c r="D965">
        <v>0</v>
      </c>
      <c r="E965" s="8">
        <v>0</v>
      </c>
      <c r="F965">
        <v>0</v>
      </c>
      <c r="G965">
        <v>0</v>
      </c>
      <c r="H965">
        <v>0</v>
      </c>
    </row>
    <row r="966" spans="1:8" x14ac:dyDescent="0.2">
      <c r="A966">
        <v>952</v>
      </c>
      <c r="B966" t="s">
        <v>236</v>
      </c>
      <c r="C966" t="s">
        <v>1220</v>
      </c>
      <c r="D966">
        <v>-6179.94</v>
      </c>
      <c r="E966" s="8">
        <v>-6179.94</v>
      </c>
      <c r="F966">
        <v>0</v>
      </c>
      <c r="G966">
        <v>-7504.83</v>
      </c>
      <c r="H966">
        <v>-7504.83</v>
      </c>
    </row>
    <row r="967" spans="1:8" x14ac:dyDescent="0.2">
      <c r="A967">
        <v>952</v>
      </c>
      <c r="B967" t="s">
        <v>741</v>
      </c>
      <c r="C967" t="s">
        <v>979</v>
      </c>
      <c r="D967">
        <v>0</v>
      </c>
      <c r="E967" s="8">
        <v>8940.9</v>
      </c>
      <c r="F967">
        <v>9500</v>
      </c>
      <c r="G967">
        <v>6947.05</v>
      </c>
      <c r="H967">
        <v>6947.05</v>
      </c>
    </row>
    <row r="968" spans="1:8" x14ac:dyDescent="0.2">
      <c r="A968">
        <v>952</v>
      </c>
      <c r="B968" t="s">
        <v>742</v>
      </c>
      <c r="C968" t="s">
        <v>980</v>
      </c>
      <c r="D968">
        <v>0</v>
      </c>
      <c r="E968" s="8">
        <v>32159.23</v>
      </c>
      <c r="F968">
        <v>33600</v>
      </c>
      <c r="G968">
        <v>109300.86</v>
      </c>
      <c r="H968">
        <v>109300.86</v>
      </c>
    </row>
    <row r="969" spans="1:8" x14ac:dyDescent="0.2">
      <c r="A969">
        <v>952</v>
      </c>
      <c r="B969" t="s">
        <v>743</v>
      </c>
      <c r="C969" t="s">
        <v>1221</v>
      </c>
      <c r="D969">
        <v>0</v>
      </c>
      <c r="E969" s="8">
        <v>5368.52</v>
      </c>
      <c r="F969">
        <v>3006</v>
      </c>
      <c r="G969">
        <v>5867.25</v>
      </c>
      <c r="H969">
        <v>5867.25</v>
      </c>
    </row>
    <row r="970" spans="1:8" x14ac:dyDescent="0.2">
      <c r="A970">
        <v>952</v>
      </c>
      <c r="B970" t="s">
        <v>744</v>
      </c>
      <c r="C970" t="s">
        <v>981</v>
      </c>
      <c r="D970">
        <v>0</v>
      </c>
      <c r="E970" s="8">
        <v>7159.58</v>
      </c>
      <c r="F970">
        <v>9300</v>
      </c>
      <c r="G970">
        <v>12112.13</v>
      </c>
      <c r="H970">
        <v>12112.13</v>
      </c>
    </row>
    <row r="971" spans="1:8" x14ac:dyDescent="0.2">
      <c r="A971">
        <v>952</v>
      </c>
      <c r="B971" t="s">
        <v>745</v>
      </c>
      <c r="C971" t="s">
        <v>982</v>
      </c>
      <c r="D971">
        <v>2575</v>
      </c>
      <c r="E971" s="8">
        <v>9447.1299999999992</v>
      </c>
      <c r="F971">
        <v>19800</v>
      </c>
      <c r="G971">
        <v>31664.76</v>
      </c>
      <c r="H971">
        <v>31664.76</v>
      </c>
    </row>
    <row r="972" spans="1:8" x14ac:dyDescent="0.2">
      <c r="A972">
        <v>952</v>
      </c>
      <c r="B972" t="s">
        <v>746</v>
      </c>
      <c r="C972" t="s">
        <v>983</v>
      </c>
      <c r="D972">
        <v>0</v>
      </c>
      <c r="E972" s="8">
        <v>5459.35</v>
      </c>
      <c r="F972">
        <v>25400</v>
      </c>
      <c r="G972">
        <v>3618.37</v>
      </c>
      <c r="H972">
        <v>3618.37</v>
      </c>
    </row>
    <row r="973" spans="1:8" x14ac:dyDescent="0.2">
      <c r="A973">
        <v>952</v>
      </c>
      <c r="B973" t="s">
        <v>747</v>
      </c>
      <c r="C973" t="s">
        <v>984</v>
      </c>
      <c r="D973">
        <v>0</v>
      </c>
      <c r="E973" s="8">
        <v>4492.6099999999997</v>
      </c>
      <c r="F973">
        <v>13900</v>
      </c>
      <c r="G973">
        <v>6682.86</v>
      </c>
      <c r="H973">
        <v>6682.86</v>
      </c>
    </row>
    <row r="974" spans="1:8" x14ac:dyDescent="0.2">
      <c r="A974">
        <v>952</v>
      </c>
      <c r="B974" t="s">
        <v>748</v>
      </c>
      <c r="C974" t="s">
        <v>985</v>
      </c>
      <c r="D974">
        <v>0</v>
      </c>
      <c r="E974" s="8">
        <v>724</v>
      </c>
      <c r="F974">
        <v>3487</v>
      </c>
      <c r="G974">
        <v>659</v>
      </c>
      <c r="H974">
        <v>659</v>
      </c>
    </row>
    <row r="975" spans="1:8" x14ac:dyDescent="0.2">
      <c r="A975">
        <v>952</v>
      </c>
      <c r="B975" t="s">
        <v>749</v>
      </c>
      <c r="C975" t="s">
        <v>986</v>
      </c>
      <c r="D975">
        <v>0</v>
      </c>
      <c r="E975" s="8">
        <v>2434.0700000000002</v>
      </c>
      <c r="F975">
        <v>1500</v>
      </c>
      <c r="G975">
        <v>533.91</v>
      </c>
      <c r="H975">
        <v>533.91</v>
      </c>
    </row>
    <row r="976" spans="1:8" x14ac:dyDescent="0.2">
      <c r="A976">
        <v>952</v>
      </c>
      <c r="B976" t="s">
        <v>750</v>
      </c>
      <c r="C976" t="s">
        <v>987</v>
      </c>
      <c r="D976">
        <v>0</v>
      </c>
      <c r="E976" s="8">
        <v>1190</v>
      </c>
      <c r="F976">
        <v>37000</v>
      </c>
      <c r="G976">
        <v>0</v>
      </c>
      <c r="H976">
        <v>0</v>
      </c>
    </row>
    <row r="977" spans="1:8" x14ac:dyDescent="0.2">
      <c r="A977">
        <v>952</v>
      </c>
      <c r="B977" t="s">
        <v>751</v>
      </c>
      <c r="C977" t="s">
        <v>988</v>
      </c>
      <c r="D977">
        <v>0</v>
      </c>
      <c r="E977" s="8">
        <v>217636</v>
      </c>
      <c r="F977">
        <v>215196</v>
      </c>
      <c r="G977">
        <v>0</v>
      </c>
      <c r="H977">
        <v>0</v>
      </c>
    </row>
    <row r="978" spans="1:8" x14ac:dyDescent="0.2">
      <c r="A978">
        <v>952</v>
      </c>
      <c r="B978" t="s">
        <v>752</v>
      </c>
      <c r="C978" t="s">
        <v>753</v>
      </c>
      <c r="D978">
        <v>0</v>
      </c>
      <c r="E978" s="8">
        <v>0</v>
      </c>
      <c r="F978">
        <v>0</v>
      </c>
      <c r="G978">
        <v>0</v>
      </c>
      <c r="H978">
        <v>0</v>
      </c>
    </row>
    <row r="979" spans="1:8" x14ac:dyDescent="0.2">
      <c r="A979">
        <v>952</v>
      </c>
      <c r="B979" t="s">
        <v>754</v>
      </c>
      <c r="C979" t="s">
        <v>989</v>
      </c>
      <c r="D979">
        <v>0</v>
      </c>
      <c r="E979" s="8">
        <v>1562.61</v>
      </c>
      <c r="F979">
        <v>3100</v>
      </c>
      <c r="G979">
        <v>3030</v>
      </c>
      <c r="H979">
        <v>3030</v>
      </c>
    </row>
    <row r="980" spans="1:8" x14ac:dyDescent="0.2">
      <c r="A980">
        <v>952</v>
      </c>
      <c r="B980" t="s">
        <v>766</v>
      </c>
      <c r="C980" t="s">
        <v>990</v>
      </c>
      <c r="D980">
        <v>0</v>
      </c>
      <c r="E980" s="8">
        <v>1608.19</v>
      </c>
      <c r="F980">
        <v>1559</v>
      </c>
      <c r="G980">
        <v>525</v>
      </c>
      <c r="H980">
        <v>525</v>
      </c>
    </row>
    <row r="981" spans="1:8" x14ac:dyDescent="0.2">
      <c r="A981">
        <v>952</v>
      </c>
      <c r="B981" t="s">
        <v>767</v>
      </c>
      <c r="C981" t="s">
        <v>991</v>
      </c>
      <c r="D981">
        <v>0</v>
      </c>
      <c r="E981" s="8">
        <v>5454.22</v>
      </c>
      <c r="F981">
        <v>15100</v>
      </c>
      <c r="G981">
        <v>9917.65</v>
      </c>
      <c r="H981">
        <v>9917.65</v>
      </c>
    </row>
    <row r="982" spans="1:8" x14ac:dyDescent="0.2">
      <c r="A982">
        <v>952</v>
      </c>
      <c r="B982" t="s">
        <v>768</v>
      </c>
      <c r="C982" t="s">
        <v>992</v>
      </c>
      <c r="D982">
        <v>36580.5</v>
      </c>
      <c r="E982" s="8">
        <v>47871.01</v>
      </c>
      <c r="F982">
        <v>12500</v>
      </c>
      <c r="G982">
        <v>71620</v>
      </c>
      <c r="H982">
        <v>71620</v>
      </c>
    </row>
    <row r="983" spans="1:8" x14ac:dyDescent="0.2">
      <c r="A983">
        <v>952</v>
      </c>
      <c r="B983" t="s">
        <v>769</v>
      </c>
      <c r="C983" t="s">
        <v>993</v>
      </c>
      <c r="D983">
        <v>0</v>
      </c>
      <c r="E983" s="8">
        <v>4457</v>
      </c>
      <c r="F983">
        <v>31500</v>
      </c>
      <c r="G983">
        <v>14448.11</v>
      </c>
      <c r="H983">
        <v>14448.11</v>
      </c>
    </row>
    <row r="984" spans="1:8" x14ac:dyDescent="0.2">
      <c r="A984">
        <v>952</v>
      </c>
      <c r="B984" t="s">
        <v>770</v>
      </c>
      <c r="C984" t="s">
        <v>994</v>
      </c>
      <c r="D984">
        <v>8650.19</v>
      </c>
      <c r="E984" s="8">
        <v>20461.23</v>
      </c>
      <c r="F984">
        <v>11798</v>
      </c>
      <c r="G984">
        <v>37897.89</v>
      </c>
      <c r="H984">
        <v>37897.89</v>
      </c>
    </row>
    <row r="985" spans="1:8" x14ac:dyDescent="0.2">
      <c r="A985">
        <v>952</v>
      </c>
      <c r="B985" t="s">
        <v>771</v>
      </c>
      <c r="C985" t="s">
        <v>995</v>
      </c>
      <c r="D985">
        <v>-8650.19</v>
      </c>
      <c r="E985" s="8">
        <v>-4424.2299999999996</v>
      </c>
      <c r="F985">
        <v>7300</v>
      </c>
      <c r="G985">
        <v>24642.94</v>
      </c>
      <c r="H985">
        <v>24642.94</v>
      </c>
    </row>
    <row r="986" spans="1:8" x14ac:dyDescent="0.2">
      <c r="A986">
        <v>952</v>
      </c>
      <c r="B986" t="s">
        <v>772</v>
      </c>
      <c r="C986" t="s">
        <v>773</v>
      </c>
      <c r="D986">
        <v>0</v>
      </c>
      <c r="E986" s="8">
        <v>0</v>
      </c>
      <c r="F986">
        <v>0</v>
      </c>
      <c r="G986">
        <v>0</v>
      </c>
      <c r="H986">
        <v>0</v>
      </c>
    </row>
    <row r="987" spans="1:8" x14ac:dyDescent="0.2">
      <c r="A987">
        <v>952</v>
      </c>
      <c r="B987" t="s">
        <v>774</v>
      </c>
      <c r="C987" t="s">
        <v>775</v>
      </c>
      <c r="D987">
        <v>0</v>
      </c>
      <c r="E987" s="8">
        <v>0</v>
      </c>
      <c r="F987">
        <v>0</v>
      </c>
      <c r="G987">
        <v>0</v>
      </c>
      <c r="H987">
        <v>0</v>
      </c>
    </row>
    <row r="988" spans="1:8" x14ac:dyDescent="0.2">
      <c r="A988">
        <v>952</v>
      </c>
      <c r="B988" t="s">
        <v>776</v>
      </c>
      <c r="C988" t="s">
        <v>996</v>
      </c>
      <c r="D988">
        <v>1247.48</v>
      </c>
      <c r="E988" s="8">
        <v>1247.48</v>
      </c>
      <c r="F988">
        <v>4500</v>
      </c>
      <c r="G988">
        <v>4003.44</v>
      </c>
      <c r="H988">
        <v>4003.44</v>
      </c>
    </row>
    <row r="989" spans="1:8" x14ac:dyDescent="0.2">
      <c r="A989">
        <v>952</v>
      </c>
      <c r="B989" t="s">
        <v>777</v>
      </c>
      <c r="C989" t="s">
        <v>778</v>
      </c>
      <c r="D989">
        <v>0</v>
      </c>
      <c r="E989" s="8">
        <v>7379.35</v>
      </c>
      <c r="F989">
        <v>10200</v>
      </c>
      <c r="G989">
        <v>2741.44</v>
      </c>
      <c r="H989">
        <v>2741.44</v>
      </c>
    </row>
    <row r="990" spans="1:8" x14ac:dyDescent="0.2">
      <c r="A990">
        <v>952</v>
      </c>
      <c r="B990" t="s">
        <v>237</v>
      </c>
      <c r="C990" t="s">
        <v>1222</v>
      </c>
      <c r="D990">
        <v>0</v>
      </c>
      <c r="E990" s="8">
        <v>4364.33</v>
      </c>
      <c r="F990">
        <v>3706</v>
      </c>
      <c r="G990">
        <v>1204.24</v>
      </c>
      <c r="H990">
        <v>1204.24</v>
      </c>
    </row>
    <row r="991" spans="1:8" x14ac:dyDescent="0.2">
      <c r="A991">
        <v>952</v>
      </c>
      <c r="B991" t="s">
        <v>238</v>
      </c>
      <c r="C991" t="s">
        <v>239</v>
      </c>
      <c r="D991">
        <v>0</v>
      </c>
      <c r="E991" s="8">
        <v>6349.11</v>
      </c>
      <c r="F991">
        <v>28608</v>
      </c>
      <c r="G991">
        <v>5545.87</v>
      </c>
      <c r="H991">
        <v>5545.87</v>
      </c>
    </row>
    <row r="992" spans="1:8" x14ac:dyDescent="0.2">
      <c r="A992">
        <v>952</v>
      </c>
      <c r="B992" t="s">
        <v>779</v>
      </c>
      <c r="C992" t="s">
        <v>780</v>
      </c>
      <c r="D992">
        <v>0</v>
      </c>
      <c r="E992" s="8">
        <v>0</v>
      </c>
      <c r="F992">
        <v>0</v>
      </c>
      <c r="G992">
        <v>0</v>
      </c>
      <c r="H992">
        <v>0</v>
      </c>
    </row>
    <row r="993" spans="1:8" x14ac:dyDescent="0.2">
      <c r="A993">
        <v>952</v>
      </c>
      <c r="B993" t="s">
        <v>781</v>
      </c>
      <c r="C993" t="s">
        <v>782</v>
      </c>
      <c r="D993">
        <v>0</v>
      </c>
      <c r="E993" s="8">
        <v>0</v>
      </c>
      <c r="F993">
        <v>0</v>
      </c>
      <c r="G993">
        <v>0</v>
      </c>
      <c r="H993">
        <v>0</v>
      </c>
    </row>
    <row r="994" spans="1:8" x14ac:dyDescent="0.2">
      <c r="A994">
        <v>952</v>
      </c>
      <c r="B994" t="s">
        <v>783</v>
      </c>
      <c r="C994" t="s">
        <v>784</v>
      </c>
      <c r="D994">
        <v>0</v>
      </c>
      <c r="E994" s="8">
        <v>0</v>
      </c>
      <c r="F994">
        <v>0</v>
      </c>
      <c r="G994">
        <v>0</v>
      </c>
      <c r="H994">
        <v>0</v>
      </c>
    </row>
    <row r="995" spans="1:8" x14ac:dyDescent="0.2">
      <c r="A995">
        <v>952</v>
      </c>
      <c r="B995" t="s">
        <v>785</v>
      </c>
      <c r="C995" t="s">
        <v>786</v>
      </c>
      <c r="D995">
        <v>0</v>
      </c>
      <c r="E995" s="8">
        <v>0</v>
      </c>
      <c r="F995">
        <v>0</v>
      </c>
      <c r="G995">
        <v>0</v>
      </c>
      <c r="H995">
        <v>0</v>
      </c>
    </row>
    <row r="996" spans="1:8" x14ac:dyDescent="0.2">
      <c r="A996">
        <v>952</v>
      </c>
      <c r="B996" t="s">
        <v>787</v>
      </c>
      <c r="C996" t="s">
        <v>1075</v>
      </c>
      <c r="D996">
        <v>0</v>
      </c>
      <c r="E996" s="8">
        <v>0</v>
      </c>
      <c r="F996">
        <v>0</v>
      </c>
      <c r="G996">
        <v>0</v>
      </c>
      <c r="H996">
        <v>0</v>
      </c>
    </row>
    <row r="997" spans="1:8" x14ac:dyDescent="0.2">
      <c r="A997">
        <v>952</v>
      </c>
      <c r="B997" t="s">
        <v>788</v>
      </c>
      <c r="C997" t="s">
        <v>1025</v>
      </c>
      <c r="D997">
        <v>0</v>
      </c>
      <c r="E997" s="8">
        <v>0</v>
      </c>
      <c r="F997">
        <v>0</v>
      </c>
      <c r="G997">
        <v>0</v>
      </c>
      <c r="H997">
        <v>0</v>
      </c>
    </row>
    <row r="998" spans="1:8" x14ac:dyDescent="0.2">
      <c r="A998">
        <v>952</v>
      </c>
      <c r="B998" t="s">
        <v>789</v>
      </c>
      <c r="C998" t="s">
        <v>790</v>
      </c>
      <c r="D998">
        <v>0</v>
      </c>
      <c r="E998" s="8">
        <v>0</v>
      </c>
      <c r="F998">
        <v>0</v>
      </c>
      <c r="G998">
        <v>0</v>
      </c>
      <c r="H998">
        <v>0</v>
      </c>
    </row>
    <row r="999" spans="1:8" x14ac:dyDescent="0.2">
      <c r="A999">
        <v>952</v>
      </c>
      <c r="B999" t="s">
        <v>791</v>
      </c>
      <c r="C999" t="s">
        <v>792</v>
      </c>
      <c r="D999">
        <v>0</v>
      </c>
      <c r="E999" s="8">
        <v>0</v>
      </c>
      <c r="F999">
        <v>0</v>
      </c>
      <c r="G999">
        <v>0</v>
      </c>
      <c r="H999">
        <v>0</v>
      </c>
    </row>
    <row r="1000" spans="1:8" x14ac:dyDescent="0.2">
      <c r="A1000">
        <v>952</v>
      </c>
      <c r="B1000" t="s">
        <v>793</v>
      </c>
      <c r="C1000" t="s">
        <v>794</v>
      </c>
      <c r="D1000">
        <v>0</v>
      </c>
      <c r="E1000" s="8">
        <v>0</v>
      </c>
      <c r="F1000">
        <v>0</v>
      </c>
      <c r="G1000">
        <v>0</v>
      </c>
      <c r="H1000">
        <v>0</v>
      </c>
    </row>
    <row r="1001" spans="1:8" x14ac:dyDescent="0.2">
      <c r="A1001">
        <v>952</v>
      </c>
      <c r="B1001" t="s">
        <v>795</v>
      </c>
      <c r="C1001" t="s">
        <v>796</v>
      </c>
      <c r="D1001">
        <v>13035.2</v>
      </c>
      <c r="E1001" s="8">
        <v>123853.84</v>
      </c>
      <c r="F1001">
        <v>518132</v>
      </c>
      <c r="G1001">
        <v>115489.94</v>
      </c>
      <c r="H1001">
        <v>115489.94</v>
      </c>
    </row>
    <row r="1002" spans="1:8" x14ac:dyDescent="0.2">
      <c r="A1002">
        <v>952</v>
      </c>
      <c r="B1002" t="s">
        <v>797</v>
      </c>
      <c r="C1002" t="s">
        <v>798</v>
      </c>
      <c r="D1002">
        <v>0</v>
      </c>
      <c r="E1002" s="8">
        <v>0</v>
      </c>
      <c r="F1002">
        <v>0</v>
      </c>
      <c r="G1002">
        <v>0</v>
      </c>
      <c r="H1002">
        <v>0</v>
      </c>
    </row>
    <row r="1003" spans="1:8" x14ac:dyDescent="0.2">
      <c r="A1003">
        <v>952</v>
      </c>
      <c r="B1003" t="s">
        <v>799</v>
      </c>
      <c r="C1003" t="s">
        <v>800</v>
      </c>
      <c r="D1003">
        <v>0</v>
      </c>
      <c r="E1003" s="8">
        <v>0</v>
      </c>
      <c r="F1003">
        <v>0</v>
      </c>
      <c r="G1003">
        <v>0</v>
      </c>
      <c r="H1003">
        <v>0</v>
      </c>
    </row>
    <row r="1004" spans="1:8" x14ac:dyDescent="0.2">
      <c r="A1004">
        <v>952</v>
      </c>
      <c r="B1004" t="s">
        <v>801</v>
      </c>
      <c r="C1004" t="s">
        <v>997</v>
      </c>
      <c r="D1004">
        <v>0</v>
      </c>
      <c r="E1004" s="8">
        <v>20748.75</v>
      </c>
      <c r="F1004">
        <v>0</v>
      </c>
      <c r="G1004">
        <v>0</v>
      </c>
      <c r="H1004">
        <v>0</v>
      </c>
    </row>
    <row r="1005" spans="1:8" x14ac:dyDescent="0.2">
      <c r="A1005">
        <v>952</v>
      </c>
      <c r="B1005" t="s">
        <v>240</v>
      </c>
      <c r="C1005" t="s">
        <v>241</v>
      </c>
      <c r="D1005">
        <v>0</v>
      </c>
      <c r="E1005" s="8">
        <v>0</v>
      </c>
      <c r="F1005">
        <v>0</v>
      </c>
      <c r="G1005">
        <v>0</v>
      </c>
      <c r="H1005">
        <v>0</v>
      </c>
    </row>
    <row r="1006" spans="1:8" x14ac:dyDescent="0.2">
      <c r="A1006">
        <v>952</v>
      </c>
      <c r="B1006" t="s">
        <v>1223</v>
      </c>
      <c r="C1006" t="s">
        <v>1075</v>
      </c>
      <c r="D1006">
        <v>0</v>
      </c>
      <c r="E1006" s="8">
        <v>0</v>
      </c>
      <c r="F1006">
        <v>0</v>
      </c>
      <c r="G1006">
        <v>72440</v>
      </c>
      <c r="H1006">
        <v>72440</v>
      </c>
    </row>
    <row r="1007" spans="1:8" x14ac:dyDescent="0.2">
      <c r="A1007">
        <v>952</v>
      </c>
      <c r="B1007" t="s">
        <v>1224</v>
      </c>
      <c r="C1007" t="s">
        <v>1225</v>
      </c>
      <c r="D1007">
        <v>3352.5</v>
      </c>
      <c r="E1007" s="8">
        <v>43497.53</v>
      </c>
      <c r="F1007">
        <v>0</v>
      </c>
      <c r="G1007">
        <v>46406.13</v>
      </c>
      <c r="H1007">
        <v>46406.13</v>
      </c>
    </row>
    <row r="1008" spans="1:8" x14ac:dyDescent="0.2">
      <c r="A1008">
        <v>952</v>
      </c>
      <c r="B1008" t="s">
        <v>802</v>
      </c>
      <c r="C1008" t="s">
        <v>821</v>
      </c>
      <c r="D1008">
        <v>-117973.04</v>
      </c>
      <c r="E1008" s="8">
        <v>-395909.16</v>
      </c>
      <c r="F1008">
        <v>-303203</v>
      </c>
      <c r="G1008">
        <v>-372620.19</v>
      </c>
      <c r="H1008">
        <v>-372620.19</v>
      </c>
    </row>
    <row r="1009" spans="1:8" x14ac:dyDescent="0.2">
      <c r="A1009">
        <v>952</v>
      </c>
      <c r="B1009" t="s">
        <v>803</v>
      </c>
      <c r="C1009" t="s">
        <v>804</v>
      </c>
      <c r="D1009">
        <v>0</v>
      </c>
      <c r="E1009" s="8">
        <v>0</v>
      </c>
      <c r="F1009">
        <v>0</v>
      </c>
      <c r="G1009">
        <v>0</v>
      </c>
      <c r="H1009">
        <v>0</v>
      </c>
    </row>
    <row r="1010" spans="1:8" x14ac:dyDescent="0.2">
      <c r="A1010">
        <v>952</v>
      </c>
      <c r="B1010" t="s">
        <v>805</v>
      </c>
      <c r="C1010" t="s">
        <v>806</v>
      </c>
      <c r="D1010">
        <v>0</v>
      </c>
      <c r="E1010" s="8">
        <v>-580583.67000000004</v>
      </c>
      <c r="F1010">
        <v>0</v>
      </c>
      <c r="G1010">
        <v>-580583.67000000004</v>
      </c>
      <c r="H1010">
        <v>-580583.67000000004</v>
      </c>
    </row>
    <row r="1011" spans="1:8" x14ac:dyDescent="0.2">
      <c r="A1011">
        <v>952</v>
      </c>
      <c r="B1011" t="s">
        <v>807</v>
      </c>
      <c r="C1011" t="s">
        <v>808</v>
      </c>
      <c r="D1011">
        <v>0</v>
      </c>
      <c r="E1011" s="8">
        <v>580583.67000000004</v>
      </c>
      <c r="F1011">
        <v>0</v>
      </c>
      <c r="G1011">
        <v>580583.67000000004</v>
      </c>
      <c r="H1011">
        <v>580583.67000000004</v>
      </c>
    </row>
    <row r="1012" spans="1:8" x14ac:dyDescent="0.2">
      <c r="A1012">
        <v>952</v>
      </c>
      <c r="B1012" t="s">
        <v>809</v>
      </c>
      <c r="C1012" t="s">
        <v>810</v>
      </c>
      <c r="D1012">
        <v>0</v>
      </c>
      <c r="E1012" s="8">
        <v>0</v>
      </c>
      <c r="F1012">
        <v>0</v>
      </c>
      <c r="G1012">
        <v>0</v>
      </c>
      <c r="H1012">
        <v>0</v>
      </c>
    </row>
    <row r="1013" spans="1:8" x14ac:dyDescent="0.2">
      <c r="A1013">
        <v>952</v>
      </c>
      <c r="B1013" t="s">
        <v>811</v>
      </c>
      <c r="C1013" t="s">
        <v>812</v>
      </c>
      <c r="D1013">
        <v>0</v>
      </c>
      <c r="E1013" s="8">
        <v>0</v>
      </c>
      <c r="F1013">
        <v>0</v>
      </c>
      <c r="G1013">
        <v>0</v>
      </c>
      <c r="H1013">
        <v>0</v>
      </c>
    </row>
    <row r="1014" spans="1:8" x14ac:dyDescent="0.2">
      <c r="A1014">
        <v>952</v>
      </c>
      <c r="B1014" t="s">
        <v>1226</v>
      </c>
      <c r="C1014" t="s">
        <v>1227</v>
      </c>
      <c r="D1014">
        <v>25256.43</v>
      </c>
      <c r="E1014" s="8">
        <v>0</v>
      </c>
      <c r="F1014">
        <v>0</v>
      </c>
      <c r="G1014">
        <v>-25256.43</v>
      </c>
      <c r="H1014">
        <v>-25256.43</v>
      </c>
    </row>
    <row r="1015" spans="1:8" x14ac:dyDescent="0.2">
      <c r="A1015">
        <v>952</v>
      </c>
      <c r="B1015" t="s">
        <v>1228</v>
      </c>
      <c r="C1015" t="s">
        <v>1227</v>
      </c>
      <c r="D1015">
        <v>-36580.5</v>
      </c>
      <c r="E1015" s="8">
        <v>0</v>
      </c>
      <c r="F1015">
        <v>0</v>
      </c>
      <c r="G1015">
        <v>25256.43</v>
      </c>
      <c r="H1015">
        <v>25256.43</v>
      </c>
    </row>
    <row r="1016" spans="1:8" x14ac:dyDescent="0.2">
      <c r="A1016">
        <v>952</v>
      </c>
      <c r="B1016" t="s">
        <v>1341</v>
      </c>
      <c r="C1016" t="s">
        <v>1342</v>
      </c>
      <c r="D1016">
        <v>0</v>
      </c>
      <c r="E1016" s="8">
        <v>0</v>
      </c>
      <c r="F1016">
        <v>0</v>
      </c>
      <c r="G1016">
        <v>0</v>
      </c>
      <c r="H1016">
        <v>0</v>
      </c>
    </row>
  </sheetData>
  <autoFilter ref="A1:J1016"/>
  <phoneticPr fontId="65"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40"/>
  <sheetViews>
    <sheetView tabSelected="1" view="pageBreakPreview" topLeftCell="A13" zoomScaleNormal="100" zoomScaleSheetLayoutView="100" workbookViewId="0">
      <selection activeCell="K26" sqref="K26"/>
    </sheetView>
  </sheetViews>
  <sheetFormatPr defaultRowHeight="12.75" x14ac:dyDescent="0.2"/>
  <cols>
    <col min="1" max="3" width="9.140625" style="112"/>
    <col min="4" max="4" width="22.7109375" style="112" customWidth="1"/>
    <col min="5" max="16384" width="9.140625" style="112"/>
  </cols>
  <sheetData>
    <row r="1" spans="1:8" x14ac:dyDescent="0.2">
      <c r="A1" s="114"/>
      <c r="B1" s="114"/>
      <c r="C1" s="114"/>
      <c r="D1" s="114"/>
      <c r="E1" s="114"/>
      <c r="F1" s="114"/>
      <c r="G1" s="114"/>
      <c r="H1" s="114"/>
    </row>
    <row r="2" spans="1:8" x14ac:dyDescent="0.2">
      <c r="A2" s="114"/>
      <c r="B2" s="114"/>
      <c r="C2" s="114"/>
      <c r="D2" s="114"/>
      <c r="E2" s="114"/>
      <c r="F2" s="114"/>
      <c r="G2" s="114"/>
      <c r="H2" s="114"/>
    </row>
    <row r="3" spans="1:8" x14ac:dyDescent="0.2">
      <c r="A3" s="114"/>
      <c r="B3" s="114"/>
      <c r="C3" s="114"/>
      <c r="D3" s="114"/>
      <c r="E3" s="114"/>
      <c r="F3" s="114"/>
      <c r="G3" s="114"/>
      <c r="H3" s="114"/>
    </row>
    <row r="4" spans="1:8" x14ac:dyDescent="0.2">
      <c r="A4" s="114"/>
      <c r="B4" s="114"/>
      <c r="C4" s="114"/>
      <c r="D4" s="114"/>
      <c r="E4" s="114"/>
      <c r="F4" s="114"/>
      <c r="G4" s="114"/>
      <c r="H4" s="114"/>
    </row>
    <row r="5" spans="1:8" x14ac:dyDescent="0.2">
      <c r="A5" s="114"/>
      <c r="B5" s="114"/>
      <c r="C5" s="114"/>
      <c r="D5" s="114"/>
      <c r="E5" s="114"/>
      <c r="F5" s="114"/>
      <c r="G5" s="114"/>
      <c r="H5" s="114"/>
    </row>
    <row r="6" spans="1:8" x14ac:dyDescent="0.2">
      <c r="A6" s="114"/>
      <c r="B6" s="114"/>
      <c r="C6" s="114"/>
      <c r="D6" s="114"/>
      <c r="E6" s="114"/>
      <c r="F6" s="114"/>
      <c r="G6" s="114"/>
      <c r="H6" s="114"/>
    </row>
    <row r="7" spans="1:8" x14ac:dyDescent="0.2">
      <c r="A7" s="114"/>
      <c r="B7" s="114"/>
      <c r="C7" s="114"/>
      <c r="D7" s="114"/>
      <c r="E7" s="114"/>
      <c r="F7" s="114"/>
      <c r="G7" s="114"/>
      <c r="H7" s="114"/>
    </row>
    <row r="8" spans="1:8" x14ac:dyDescent="0.2">
      <c r="A8" s="114"/>
      <c r="B8" s="114"/>
      <c r="C8" s="114"/>
      <c r="D8" s="114"/>
      <c r="E8" s="114"/>
      <c r="F8" s="114"/>
      <c r="G8" s="114"/>
      <c r="H8" s="114"/>
    </row>
    <row r="9" spans="1:8" x14ac:dyDescent="0.2">
      <c r="A9" s="114"/>
      <c r="B9" s="114"/>
      <c r="C9" s="114"/>
      <c r="D9" s="114"/>
      <c r="E9" s="114"/>
      <c r="F9" s="114"/>
      <c r="G9" s="114"/>
      <c r="H9" s="114"/>
    </row>
    <row r="10" spans="1:8" x14ac:dyDescent="0.2">
      <c r="A10" s="114"/>
      <c r="B10" s="114"/>
      <c r="C10" s="114"/>
      <c r="D10" s="114"/>
      <c r="E10" s="114"/>
      <c r="F10" s="114"/>
      <c r="G10" s="114"/>
      <c r="H10" s="114"/>
    </row>
    <row r="11" spans="1:8" x14ac:dyDescent="0.2">
      <c r="A11" s="114"/>
      <c r="B11" s="114"/>
      <c r="C11" s="114"/>
      <c r="D11" s="114"/>
      <c r="E11" s="114"/>
      <c r="F11" s="114"/>
      <c r="G11" s="114"/>
      <c r="H11" s="114"/>
    </row>
    <row r="12" spans="1:8" x14ac:dyDescent="0.2">
      <c r="A12" s="114"/>
      <c r="B12" s="114"/>
      <c r="C12" s="114"/>
      <c r="D12" s="114"/>
      <c r="E12" s="114"/>
      <c r="F12" s="114"/>
      <c r="G12" s="114"/>
      <c r="H12" s="114"/>
    </row>
    <row r="13" spans="1:8" x14ac:dyDescent="0.2">
      <c r="A13" s="114"/>
      <c r="B13" s="114"/>
      <c r="C13" s="114"/>
      <c r="D13" s="114"/>
      <c r="E13" s="114"/>
      <c r="F13" s="114"/>
      <c r="G13" s="114"/>
      <c r="H13" s="114"/>
    </row>
    <row r="14" spans="1:8" x14ac:dyDescent="0.2">
      <c r="A14" s="114"/>
      <c r="B14" s="114"/>
      <c r="C14" s="114"/>
      <c r="D14" s="114"/>
      <c r="E14" s="114"/>
      <c r="F14" s="114"/>
      <c r="G14" s="114"/>
      <c r="H14" s="114"/>
    </row>
    <row r="15" spans="1:8" x14ac:dyDescent="0.2">
      <c r="A15" s="114"/>
      <c r="B15" s="114"/>
      <c r="C15" s="114"/>
      <c r="D15" s="114"/>
      <c r="E15" s="114"/>
      <c r="F15" s="114"/>
      <c r="G15" s="114"/>
      <c r="H15" s="114"/>
    </row>
    <row r="16" spans="1:8" x14ac:dyDescent="0.2">
      <c r="A16" s="114"/>
      <c r="B16" s="114"/>
      <c r="C16" s="114"/>
      <c r="D16" s="114"/>
      <c r="E16" s="114"/>
      <c r="F16" s="114"/>
      <c r="G16" s="114"/>
      <c r="H16" s="114"/>
    </row>
    <row r="17" spans="1:8" x14ac:dyDescent="0.2">
      <c r="A17" s="114"/>
      <c r="B17" s="114"/>
      <c r="C17" s="114"/>
      <c r="D17" s="114"/>
      <c r="E17" s="114"/>
      <c r="F17" s="114"/>
      <c r="G17" s="114"/>
      <c r="H17" s="114"/>
    </row>
    <row r="18" spans="1:8" ht="88.5" customHeight="1" x14ac:dyDescent="0.2">
      <c r="A18" s="568" t="str">
        <f>+Data!B6</f>
        <v>Blind and Low Vision Education Network NZ</v>
      </c>
      <c r="B18" s="568"/>
      <c r="C18" s="568"/>
      <c r="D18" s="568"/>
      <c r="E18" s="568"/>
      <c r="F18" s="568"/>
      <c r="G18" s="568"/>
      <c r="H18" s="568"/>
    </row>
    <row r="19" spans="1:8" x14ac:dyDescent="0.2">
      <c r="A19" s="114"/>
      <c r="B19" s="114"/>
      <c r="C19" s="114"/>
      <c r="D19" s="114"/>
      <c r="E19" s="114"/>
      <c r="F19" s="114"/>
      <c r="G19" s="114"/>
      <c r="H19" s="114"/>
    </row>
    <row r="20" spans="1:8" ht="25.5" x14ac:dyDescent="0.35">
      <c r="A20" s="130"/>
      <c r="B20" s="130"/>
      <c r="C20" s="114"/>
      <c r="D20" s="114"/>
      <c r="E20" s="129"/>
      <c r="F20" s="129"/>
      <c r="G20" s="129"/>
      <c r="H20" s="130"/>
    </row>
    <row r="21" spans="1:8" ht="30" x14ac:dyDescent="0.4">
      <c r="A21" s="569" t="s">
        <v>1054</v>
      </c>
      <c r="B21" s="569"/>
      <c r="C21" s="569"/>
      <c r="D21" s="569"/>
      <c r="E21" s="569"/>
      <c r="F21" s="569"/>
      <c r="G21" s="569"/>
      <c r="H21" s="569"/>
    </row>
    <row r="22" spans="1:8" ht="30" customHeight="1" x14ac:dyDescent="0.4">
      <c r="A22" s="573"/>
      <c r="B22" s="565"/>
      <c r="C22" s="565"/>
      <c r="D22" s="565"/>
      <c r="E22" s="565"/>
      <c r="F22" s="565"/>
      <c r="G22" s="565"/>
      <c r="H22" s="565"/>
    </row>
    <row r="23" spans="1:8" ht="26.25" x14ac:dyDescent="0.4">
      <c r="A23" s="570" t="s">
        <v>1304</v>
      </c>
      <c r="B23" s="570"/>
      <c r="C23" s="570"/>
      <c r="D23" s="570"/>
      <c r="E23" s="570"/>
      <c r="F23" s="570"/>
      <c r="G23" s="570"/>
      <c r="H23" s="570"/>
    </row>
    <row r="24" spans="1:8" ht="30" x14ac:dyDescent="0.4">
      <c r="A24" s="179"/>
      <c r="B24" s="179"/>
      <c r="C24" s="179"/>
      <c r="D24" s="179"/>
      <c r="E24" s="179"/>
      <c r="F24" s="179"/>
      <c r="G24" s="179"/>
      <c r="H24" s="179"/>
    </row>
    <row r="25" spans="1:8" ht="30" x14ac:dyDescent="0.4">
      <c r="A25" s="179"/>
      <c r="B25" s="179"/>
      <c r="C25" s="179"/>
      <c r="D25" s="179"/>
      <c r="E25" s="179"/>
      <c r="F25" s="179"/>
      <c r="G25" s="179"/>
      <c r="H25" s="179"/>
    </row>
    <row r="26" spans="1:8" ht="30" x14ac:dyDescent="0.4">
      <c r="A26" s="179"/>
      <c r="B26" s="179"/>
      <c r="C26" s="179"/>
      <c r="D26" s="179"/>
      <c r="E26" s="179"/>
      <c r="F26" s="179"/>
      <c r="G26" s="179"/>
      <c r="H26" s="179"/>
    </row>
    <row r="27" spans="1:8" ht="20.25" x14ac:dyDescent="0.3">
      <c r="A27" s="114"/>
      <c r="B27" s="114"/>
      <c r="C27" s="128"/>
      <c r="D27" s="114"/>
      <c r="E27" s="114"/>
      <c r="F27" s="114"/>
      <c r="G27" s="114"/>
      <c r="H27" s="114"/>
    </row>
    <row r="28" spans="1:8" ht="15" customHeight="1" x14ac:dyDescent="0.35">
      <c r="A28" s="127"/>
      <c r="B28" s="127"/>
      <c r="C28" s="127"/>
      <c r="D28" s="126" t="s">
        <v>1053</v>
      </c>
      <c r="E28" s="571" t="s">
        <v>1288</v>
      </c>
      <c r="F28" s="126"/>
      <c r="G28" s="126"/>
      <c r="H28" s="125"/>
    </row>
    <row r="29" spans="1:8" ht="15" customHeight="1" x14ac:dyDescent="0.35">
      <c r="A29" s="127"/>
      <c r="B29" s="127"/>
      <c r="C29" s="127"/>
      <c r="D29" s="126"/>
      <c r="E29" s="126"/>
      <c r="F29" s="126"/>
      <c r="G29" s="126"/>
      <c r="H29" s="125"/>
    </row>
    <row r="30" spans="1:8" ht="15" customHeight="1" x14ac:dyDescent="0.35">
      <c r="A30" s="127"/>
      <c r="B30" s="127"/>
      <c r="C30" s="127"/>
      <c r="D30" s="126"/>
      <c r="E30" s="2"/>
      <c r="F30" s="2"/>
      <c r="G30" s="125"/>
      <c r="H30" s="125"/>
    </row>
    <row r="31" spans="1:8" ht="15" customHeight="1" x14ac:dyDescent="0.35">
      <c r="A31" s="124"/>
      <c r="B31" s="124"/>
      <c r="C31" s="124"/>
      <c r="D31" s="123" t="s">
        <v>1052</v>
      </c>
      <c r="E31" s="571" t="s">
        <v>929</v>
      </c>
      <c r="F31" s="126"/>
      <c r="G31" s="126"/>
      <c r="H31" s="122"/>
    </row>
    <row r="32" spans="1:8" ht="15" customHeight="1" x14ac:dyDescent="0.3">
      <c r="A32" s="114"/>
      <c r="B32" s="114"/>
      <c r="C32" s="121"/>
      <c r="D32" s="120"/>
      <c r="E32" s="126"/>
      <c r="F32" s="126"/>
      <c r="G32" s="126"/>
      <c r="H32" s="119"/>
    </row>
    <row r="33" spans="1:8" ht="15" customHeight="1" x14ac:dyDescent="0.3">
      <c r="A33" s="114"/>
      <c r="B33" s="114"/>
      <c r="C33" s="121"/>
      <c r="D33" s="120"/>
      <c r="E33" s="2"/>
      <c r="F33" s="2"/>
      <c r="G33" s="119"/>
      <c r="H33" s="119"/>
    </row>
    <row r="34" spans="1:8" ht="15" customHeight="1" x14ac:dyDescent="0.2">
      <c r="A34" s="126"/>
      <c r="B34" s="116"/>
      <c r="C34" s="116"/>
      <c r="D34" s="116" t="s">
        <v>1051</v>
      </c>
      <c r="E34" s="572" t="s">
        <v>930</v>
      </c>
      <c r="F34" s="567"/>
      <c r="G34" s="118"/>
      <c r="H34" s="118"/>
    </row>
    <row r="35" spans="1:8" ht="15" customHeight="1" x14ac:dyDescent="0.2">
      <c r="A35" s="126"/>
      <c r="B35" s="116"/>
      <c r="C35" s="116"/>
      <c r="D35" s="116"/>
      <c r="E35" s="116"/>
      <c r="F35" s="6"/>
      <c r="G35" s="118"/>
      <c r="H35" s="118"/>
    </row>
    <row r="36" spans="1:8" ht="15" customHeight="1" x14ac:dyDescent="0.2">
      <c r="A36" s="183"/>
      <c r="B36" s="117"/>
      <c r="C36" s="117"/>
      <c r="D36" s="116" t="s">
        <v>1050</v>
      </c>
      <c r="E36" s="566" t="s">
        <v>931</v>
      </c>
      <c r="F36" s="564"/>
      <c r="G36" s="115"/>
      <c r="H36" s="115"/>
    </row>
    <row r="37" spans="1:8" ht="15" customHeight="1" x14ac:dyDescent="0.2">
      <c r="A37" s="183"/>
      <c r="B37" s="117"/>
      <c r="C37" s="117"/>
      <c r="D37" s="116"/>
      <c r="E37" s="116"/>
      <c r="F37" s="6"/>
      <c r="G37" s="115"/>
      <c r="H37" s="115"/>
    </row>
    <row r="38" spans="1:8" ht="15" customHeight="1" x14ac:dyDescent="0.2">
      <c r="A38" s="114"/>
      <c r="B38" s="114"/>
      <c r="C38" s="114"/>
      <c r="D38" s="113" t="s">
        <v>1049</v>
      </c>
      <c r="E38" s="563" t="s">
        <v>638</v>
      </c>
      <c r="F38" s="564"/>
      <c r="G38" s="564"/>
      <c r="H38" s="564"/>
    </row>
    <row r="40" spans="1:8" x14ac:dyDescent="0.2">
      <c r="D40" s="112" t="s">
        <v>1048</v>
      </c>
      <c r="E40" s="112">
        <v>4156</v>
      </c>
    </row>
  </sheetData>
  <phoneticPr fontId="65" type="noConversion"/>
  <hyperlinks>
    <hyperlink ref="E38" r:id="rId1"/>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4:K41"/>
  <sheetViews>
    <sheetView view="pageBreakPreview" zoomScaleNormal="100" zoomScaleSheetLayoutView="100" workbookViewId="0">
      <selection activeCell="D22" sqref="D22:K22"/>
    </sheetView>
  </sheetViews>
  <sheetFormatPr defaultRowHeight="12.75" x14ac:dyDescent="0.2"/>
  <cols>
    <col min="1" max="1" width="9.140625" style="135"/>
    <col min="2" max="2" width="11.7109375" style="135" bestFit="1" customWidth="1"/>
    <col min="3" max="3" width="10" style="135" bestFit="1" customWidth="1"/>
    <col min="4" max="16384" width="9.140625" style="135"/>
  </cols>
  <sheetData>
    <row r="4" spans="2:11" ht="25.5" customHeight="1" x14ac:dyDescent="0.2">
      <c r="B4" s="575" t="str">
        <f>+Header!A18</f>
        <v>Blind and Low Vision Education Network NZ</v>
      </c>
      <c r="C4" s="575"/>
      <c r="D4" s="575"/>
      <c r="E4" s="575"/>
      <c r="F4" s="575"/>
      <c r="G4" s="575"/>
      <c r="H4" s="575"/>
      <c r="I4" s="575"/>
      <c r="J4" s="575"/>
      <c r="K4" s="575"/>
    </row>
    <row r="5" spans="2:11" ht="12.75" customHeight="1" x14ac:dyDescent="0.2">
      <c r="B5" s="575"/>
      <c r="C5" s="575"/>
      <c r="D5" s="575"/>
      <c r="E5" s="575"/>
      <c r="F5" s="575"/>
      <c r="G5" s="575"/>
      <c r="H5" s="575"/>
      <c r="I5" s="575"/>
      <c r="J5" s="575"/>
      <c r="K5" s="575"/>
    </row>
    <row r="6" spans="2:11" ht="12.75" customHeight="1" x14ac:dyDescent="0.2">
      <c r="B6" s="575"/>
      <c r="C6" s="575"/>
      <c r="D6" s="575"/>
      <c r="E6" s="575"/>
      <c r="F6" s="575"/>
      <c r="G6" s="575"/>
      <c r="H6" s="575"/>
      <c r="I6" s="575"/>
      <c r="J6" s="575"/>
      <c r="K6" s="575"/>
    </row>
    <row r="9" spans="2:11" ht="18" x14ac:dyDescent="0.2">
      <c r="B9" s="576" t="s">
        <v>1305</v>
      </c>
      <c r="C9" s="576"/>
      <c r="D9" s="576"/>
      <c r="E9" s="576"/>
      <c r="F9" s="576"/>
      <c r="G9" s="576"/>
      <c r="H9" s="576"/>
      <c r="I9" s="576"/>
      <c r="J9" s="576"/>
      <c r="K9" s="576"/>
    </row>
    <row r="14" spans="2:11" ht="12.75" customHeight="1" x14ac:dyDescent="0.2">
      <c r="B14" s="350" t="s">
        <v>349</v>
      </c>
      <c r="C14" s="350"/>
      <c r="D14" s="350"/>
      <c r="E14" s="350"/>
      <c r="F14" s="350"/>
      <c r="G14" s="350"/>
      <c r="H14" s="350"/>
      <c r="I14" s="350"/>
      <c r="J14" s="350"/>
      <c r="K14" s="350"/>
    </row>
    <row r="15" spans="2:11" ht="12.75" customHeight="1" x14ac:dyDescent="0.2">
      <c r="B15" s="350"/>
      <c r="C15" s="350"/>
      <c r="D15" s="350"/>
      <c r="E15" s="350"/>
      <c r="F15" s="350"/>
      <c r="G15" s="350"/>
      <c r="H15" s="350"/>
      <c r="I15" s="350"/>
      <c r="J15" s="350"/>
      <c r="K15" s="350"/>
    </row>
    <row r="16" spans="2:11" ht="12.75" customHeight="1" x14ac:dyDescent="0.2">
      <c r="B16" s="350"/>
      <c r="C16" s="350"/>
      <c r="D16" s="350"/>
      <c r="E16" s="350"/>
      <c r="F16" s="350"/>
      <c r="G16" s="350"/>
      <c r="H16" s="350"/>
      <c r="I16" s="350"/>
      <c r="J16" s="350"/>
      <c r="K16" s="350"/>
    </row>
    <row r="17" spans="2:11" ht="12.75" customHeight="1" x14ac:dyDescent="0.2">
      <c r="B17" s="347"/>
      <c r="C17" s="347"/>
      <c r="D17" s="347"/>
      <c r="E17" s="347"/>
      <c r="F17" s="347"/>
      <c r="G17" s="347"/>
      <c r="H17" s="347"/>
      <c r="I17" s="347"/>
      <c r="J17" s="347"/>
      <c r="K17" s="347"/>
    </row>
    <row r="18" spans="2:11" ht="12.75" customHeight="1" x14ac:dyDescent="0.2">
      <c r="B18" s="347"/>
      <c r="C18" s="347"/>
      <c r="D18" s="347"/>
      <c r="E18" s="347"/>
      <c r="F18" s="347"/>
      <c r="G18" s="347"/>
      <c r="H18" s="347"/>
      <c r="I18" s="347"/>
      <c r="J18" s="347"/>
      <c r="K18" s="347"/>
    </row>
    <row r="19" spans="2:11" ht="12.75" customHeight="1" x14ac:dyDescent="0.2">
      <c r="B19" s="347"/>
      <c r="C19" s="347"/>
      <c r="D19" s="347"/>
      <c r="E19" s="347"/>
      <c r="F19" s="347"/>
      <c r="G19" s="347"/>
      <c r="H19" s="347"/>
      <c r="I19" s="347"/>
      <c r="J19" s="347"/>
      <c r="K19" s="347"/>
    </row>
    <row r="20" spans="2:11" ht="20.25" customHeight="1" x14ac:dyDescent="0.2">
      <c r="B20" s="348"/>
      <c r="C20" s="349" t="s">
        <v>350</v>
      </c>
      <c r="D20" s="348" t="s">
        <v>351</v>
      </c>
      <c r="E20" s="348"/>
      <c r="F20" s="348"/>
      <c r="G20" s="348"/>
      <c r="H20" s="348"/>
      <c r="I20" s="348"/>
      <c r="J20" s="348"/>
      <c r="K20" s="348"/>
    </row>
    <row r="21" spans="2:11" ht="12.75" customHeight="1" x14ac:dyDescent="0.2">
      <c r="B21" s="350"/>
      <c r="C21" s="351"/>
      <c r="D21" s="351"/>
      <c r="E21" s="351"/>
      <c r="F21" s="351"/>
      <c r="G21" s="351"/>
      <c r="H21" s="351"/>
      <c r="I21" s="351"/>
      <c r="J21" s="351"/>
      <c r="K21" s="351"/>
    </row>
    <row r="22" spans="2:11" ht="15" x14ac:dyDescent="0.2">
      <c r="C22" s="340">
        <v>1</v>
      </c>
      <c r="D22" s="574" t="s">
        <v>1057</v>
      </c>
      <c r="E22" s="574"/>
      <c r="F22" s="574"/>
      <c r="G22" s="574"/>
      <c r="H22" s="574"/>
      <c r="I22" s="574"/>
      <c r="J22" s="574"/>
      <c r="K22" s="574"/>
    </row>
    <row r="23" spans="2:11" ht="15" x14ac:dyDescent="0.2">
      <c r="C23" s="353"/>
      <c r="D23" s="574"/>
      <c r="E23" s="574"/>
      <c r="F23" s="574"/>
      <c r="G23" s="574"/>
      <c r="H23" s="574"/>
      <c r="I23" s="574"/>
      <c r="J23" s="574"/>
      <c r="K23" s="574"/>
    </row>
    <row r="24" spans="2:11" ht="15" x14ac:dyDescent="0.2">
      <c r="C24" s="340">
        <v>2</v>
      </c>
      <c r="D24" s="574" t="s">
        <v>352</v>
      </c>
      <c r="E24" s="574"/>
      <c r="F24" s="574"/>
      <c r="G24" s="574"/>
      <c r="H24" s="574"/>
      <c r="I24" s="574"/>
      <c r="J24" s="574"/>
      <c r="K24" s="574"/>
    </row>
    <row r="25" spans="2:11" ht="15" x14ac:dyDescent="0.2">
      <c r="C25" s="353"/>
      <c r="D25" s="574"/>
      <c r="E25" s="574"/>
      <c r="F25" s="574"/>
      <c r="G25" s="574"/>
      <c r="H25" s="574"/>
      <c r="I25" s="574"/>
      <c r="J25" s="574"/>
      <c r="K25" s="574"/>
    </row>
    <row r="26" spans="2:11" ht="15" x14ac:dyDescent="0.2">
      <c r="C26" s="340">
        <v>3</v>
      </c>
      <c r="D26" s="574" t="s">
        <v>353</v>
      </c>
      <c r="E26" s="574"/>
      <c r="F26" s="574"/>
      <c r="G26" s="574"/>
      <c r="H26" s="574"/>
      <c r="I26" s="574"/>
      <c r="J26" s="574"/>
      <c r="K26" s="574"/>
    </row>
    <row r="27" spans="2:11" ht="15" x14ac:dyDescent="0.2">
      <c r="C27" s="353"/>
      <c r="D27" s="574"/>
      <c r="E27" s="574"/>
      <c r="F27" s="574"/>
      <c r="G27" s="574"/>
      <c r="H27" s="574"/>
      <c r="I27" s="574"/>
      <c r="J27" s="574"/>
      <c r="K27" s="574"/>
    </row>
    <row r="28" spans="2:11" ht="15" x14ac:dyDescent="0.2">
      <c r="C28" s="340">
        <v>4</v>
      </c>
      <c r="D28" s="574" t="s">
        <v>1038</v>
      </c>
      <c r="E28" s="574"/>
      <c r="F28" s="574"/>
      <c r="G28" s="574"/>
      <c r="H28" s="574"/>
      <c r="I28" s="574"/>
      <c r="J28" s="574"/>
      <c r="K28" s="574"/>
    </row>
    <row r="29" spans="2:11" ht="15" x14ac:dyDescent="0.2">
      <c r="C29" s="353"/>
      <c r="D29" s="574"/>
      <c r="E29" s="574"/>
      <c r="F29" s="574"/>
      <c r="G29" s="574"/>
      <c r="H29" s="574"/>
      <c r="I29" s="574"/>
      <c r="J29" s="574"/>
      <c r="K29" s="574"/>
    </row>
    <row r="30" spans="2:11" ht="15" x14ac:dyDescent="0.2">
      <c r="C30" s="340">
        <v>5</v>
      </c>
      <c r="D30" s="574" t="s">
        <v>1229</v>
      </c>
      <c r="E30" s="574"/>
      <c r="F30" s="574"/>
      <c r="G30" s="574"/>
      <c r="H30" s="574"/>
      <c r="I30" s="574"/>
      <c r="J30" s="574"/>
      <c r="K30" s="574"/>
    </row>
    <row r="31" spans="2:11" ht="15" x14ac:dyDescent="0.2">
      <c r="C31" s="353"/>
      <c r="D31" s="574"/>
      <c r="E31" s="574"/>
      <c r="F31" s="574"/>
      <c r="G31" s="574"/>
      <c r="H31" s="574"/>
      <c r="I31" s="574"/>
      <c r="J31" s="574"/>
      <c r="K31" s="574"/>
    </row>
    <row r="32" spans="2:11" ht="15" x14ac:dyDescent="0.2">
      <c r="C32" s="492" t="s">
        <v>1301</v>
      </c>
      <c r="D32" s="574" t="s">
        <v>1056</v>
      </c>
      <c r="E32" s="574"/>
      <c r="F32" s="574"/>
      <c r="G32" s="574"/>
      <c r="H32" s="574"/>
      <c r="I32" s="574"/>
      <c r="J32" s="574"/>
      <c r="K32" s="574"/>
    </row>
    <row r="33" spans="3:11" ht="15" x14ac:dyDescent="0.2">
      <c r="C33" s="353"/>
      <c r="D33" s="488"/>
      <c r="E33" s="488"/>
      <c r="F33" s="488"/>
      <c r="G33" s="488"/>
      <c r="H33" s="488"/>
      <c r="I33" s="488"/>
      <c r="J33" s="488"/>
      <c r="K33" s="488"/>
    </row>
    <row r="34" spans="3:11" ht="15" x14ac:dyDescent="0.2">
      <c r="C34" s="324" t="s">
        <v>1363</v>
      </c>
      <c r="D34" s="574" t="s">
        <v>355</v>
      </c>
      <c r="E34" s="574"/>
      <c r="F34" s="574"/>
      <c r="G34" s="574"/>
      <c r="H34" s="574"/>
      <c r="I34" s="574"/>
      <c r="J34" s="574"/>
      <c r="K34" s="574"/>
    </row>
    <row r="35" spans="3:11" ht="15" x14ac:dyDescent="0.2">
      <c r="C35" s="353"/>
      <c r="D35" s="574"/>
      <c r="E35" s="574"/>
      <c r="F35" s="574"/>
      <c r="G35" s="574"/>
      <c r="H35" s="574"/>
      <c r="I35" s="574"/>
      <c r="J35" s="574"/>
      <c r="K35" s="574"/>
    </row>
    <row r="36" spans="3:11" ht="15" x14ac:dyDescent="0.2">
      <c r="C36" s="492" t="s">
        <v>1300</v>
      </c>
      <c r="D36" s="574" t="s">
        <v>1230</v>
      </c>
      <c r="E36" s="574"/>
      <c r="F36" s="574"/>
      <c r="G36" s="574"/>
      <c r="H36" s="574"/>
      <c r="I36" s="574"/>
      <c r="J36" s="574"/>
      <c r="K36" s="574"/>
    </row>
    <row r="37" spans="3:11" ht="15" x14ac:dyDescent="0.2">
      <c r="C37" s="352"/>
      <c r="D37" s="574"/>
      <c r="E37" s="574"/>
      <c r="F37" s="574"/>
      <c r="G37" s="574"/>
      <c r="H37" s="574"/>
      <c r="I37" s="574"/>
      <c r="J37" s="574"/>
      <c r="K37" s="574"/>
    </row>
    <row r="38" spans="3:11" ht="15" x14ac:dyDescent="0.2">
      <c r="C38" s="527" t="s">
        <v>1302</v>
      </c>
      <c r="D38" s="574" t="s">
        <v>1303</v>
      </c>
      <c r="E38" s="574"/>
      <c r="F38" s="574"/>
      <c r="G38" s="574"/>
      <c r="H38" s="574"/>
      <c r="I38" s="574"/>
      <c r="J38" s="574"/>
      <c r="K38" s="574"/>
    </row>
    <row r="39" spans="3:11" ht="15" x14ac:dyDescent="0.2">
      <c r="C39" s="352"/>
      <c r="D39" s="574"/>
      <c r="E39" s="574"/>
      <c r="F39" s="574"/>
      <c r="G39" s="574"/>
      <c r="H39" s="574"/>
      <c r="I39" s="574"/>
      <c r="J39" s="574"/>
      <c r="K39" s="574"/>
    </row>
    <row r="40" spans="3:11" x14ac:dyDescent="0.2">
      <c r="C40" s="352"/>
    </row>
    <row r="41" spans="3:11" ht="15" x14ac:dyDescent="0.2">
      <c r="C41" s="352"/>
      <c r="D41" s="574"/>
      <c r="E41" s="574"/>
      <c r="F41" s="574"/>
      <c r="G41" s="574"/>
      <c r="H41" s="574"/>
      <c r="I41" s="574"/>
      <c r="J41" s="574"/>
      <c r="K41" s="574"/>
    </row>
  </sheetData>
  <phoneticPr fontId="65" type="noConversion"/>
  <pageMargins left="0.7" right="0.17" top="0.46" bottom="0.75"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J626"/>
  <sheetViews>
    <sheetView view="pageBreakPreview" topLeftCell="A28" zoomScaleNormal="100" zoomScaleSheetLayoutView="100" workbookViewId="0">
      <selection activeCell="D27" sqref="D27"/>
    </sheetView>
  </sheetViews>
  <sheetFormatPr defaultRowHeight="12.75" x14ac:dyDescent="0.2"/>
  <cols>
    <col min="1" max="1" width="13.28515625" style="135" bestFit="1" customWidth="1"/>
    <col min="2" max="12" width="10" style="135" customWidth="1"/>
    <col min="13" max="16384" width="9.140625" style="135"/>
  </cols>
  <sheetData>
    <row r="2" spans="1:5" ht="23.25" x14ac:dyDescent="0.35">
      <c r="A2" s="354"/>
      <c r="B2" s="355" t="str">
        <f>+Header!A18</f>
        <v>Blind and Low Vision Education Network NZ</v>
      </c>
      <c r="C2" s="356"/>
      <c r="D2" s="356"/>
      <c r="E2" s="356"/>
    </row>
    <row r="4" spans="1:5" ht="23.25" x14ac:dyDescent="0.35">
      <c r="B4" s="357" t="s">
        <v>1057</v>
      </c>
    </row>
    <row r="6" spans="1:5" ht="18" x14ac:dyDescent="0.25">
      <c r="B6" s="358" t="s">
        <v>1306</v>
      </c>
    </row>
    <row r="9" spans="1:5" x14ac:dyDescent="0.2">
      <c r="B9" s="359" t="s">
        <v>367</v>
      </c>
    </row>
    <row r="10" spans="1:5" x14ac:dyDescent="0.2">
      <c r="B10" s="359" t="s">
        <v>368</v>
      </c>
    </row>
    <row r="11" spans="1:5" x14ac:dyDescent="0.2">
      <c r="B11" s="363" t="s">
        <v>1307</v>
      </c>
    </row>
    <row r="13" spans="1:5" x14ac:dyDescent="0.2">
      <c r="B13" s="359" t="s">
        <v>356</v>
      </c>
    </row>
    <row r="14" spans="1:5" x14ac:dyDescent="0.2">
      <c r="B14" s="359" t="s">
        <v>357</v>
      </c>
    </row>
    <row r="16" spans="1:5" x14ac:dyDescent="0.2">
      <c r="B16" s="359" t="s">
        <v>358</v>
      </c>
    </row>
    <row r="17" spans="2:10" x14ac:dyDescent="0.2">
      <c r="B17" s="359" t="s">
        <v>359</v>
      </c>
    </row>
    <row r="18" spans="2:10" x14ac:dyDescent="0.2">
      <c r="B18" s="359" t="s">
        <v>360</v>
      </c>
    </row>
    <row r="20" spans="2:10" x14ac:dyDescent="0.2">
      <c r="B20" s="359" t="s">
        <v>361</v>
      </c>
    </row>
    <row r="21" spans="2:10" x14ac:dyDescent="0.2">
      <c r="B21" s="359" t="s">
        <v>1356</v>
      </c>
      <c r="C21" s="359"/>
      <c r="D21" s="359"/>
    </row>
    <row r="23" spans="2:10" x14ac:dyDescent="0.2">
      <c r="B23" s="359" t="s">
        <v>1355</v>
      </c>
      <c r="C23" s="359"/>
      <c r="D23" s="359"/>
    </row>
    <row r="24" spans="2:10" x14ac:dyDescent="0.2">
      <c r="B24" s="359"/>
    </row>
    <row r="30" spans="2:10" x14ac:dyDescent="0.2">
      <c r="B30" s="360"/>
      <c r="C30" s="360"/>
      <c r="D30" s="360"/>
      <c r="E30" s="360"/>
      <c r="G30" s="360"/>
      <c r="H30" s="360"/>
      <c r="I30" s="360"/>
      <c r="J30" s="360"/>
    </row>
    <row r="31" spans="2:10" x14ac:dyDescent="0.2">
      <c r="B31" s="359" t="s">
        <v>362</v>
      </c>
      <c r="C31" s="359"/>
      <c r="G31" s="359" t="s">
        <v>363</v>
      </c>
      <c r="H31" s="359"/>
      <c r="I31" s="359"/>
    </row>
    <row r="35" spans="2:10" x14ac:dyDescent="0.2">
      <c r="B35" s="360"/>
      <c r="C35" s="360"/>
      <c r="D35" s="360"/>
      <c r="E35" s="360"/>
      <c r="G35" s="360"/>
      <c r="H35" s="360"/>
      <c r="I35" s="360"/>
      <c r="J35" s="360"/>
    </row>
    <row r="36" spans="2:10" x14ac:dyDescent="0.2">
      <c r="B36" s="359" t="s">
        <v>364</v>
      </c>
      <c r="C36" s="359"/>
      <c r="G36" s="359" t="s">
        <v>365</v>
      </c>
      <c r="H36" s="359"/>
      <c r="I36" s="359"/>
    </row>
    <row r="39" spans="2:10" x14ac:dyDescent="0.2">
      <c r="B39" s="361"/>
      <c r="C39" s="360"/>
      <c r="D39" s="360"/>
      <c r="E39" s="360"/>
      <c r="G39" s="361"/>
      <c r="H39" s="360"/>
      <c r="I39" s="360"/>
      <c r="J39" s="360"/>
    </row>
    <row r="40" spans="2:10" x14ac:dyDescent="0.2">
      <c r="B40" s="359" t="s">
        <v>366</v>
      </c>
      <c r="C40" s="359"/>
      <c r="G40" s="359" t="s">
        <v>366</v>
      </c>
      <c r="H40" s="359"/>
    </row>
    <row r="626" spans="8:9" x14ac:dyDescent="0.2">
      <c r="H626" s="362"/>
      <c r="I626" s="362"/>
    </row>
  </sheetData>
  <phoneticPr fontId="65" type="noConversion"/>
  <pageMargins left="0.78740157480314965" right="0" top="0.74803149606299213" bottom="0.74803149606299213" header="0.31496062992125984" footer="0.31496062992125984"/>
  <pageSetup paperSize="9" scale="94" orientation="portrait" useFirstPageNumber="1"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41"/>
  <sheetViews>
    <sheetView showGridLines="0" view="pageBreakPreview" topLeftCell="A4" zoomScale="85" zoomScaleNormal="100" zoomScaleSheetLayoutView="85" workbookViewId="0">
      <selection activeCell="Z25" sqref="Z25"/>
    </sheetView>
  </sheetViews>
  <sheetFormatPr defaultColWidth="9.140625" defaultRowHeight="12.75" x14ac:dyDescent="0.2"/>
  <cols>
    <col min="1" max="1" width="33.28515625" customWidth="1"/>
    <col min="2" max="2" width="8.140625" style="4" customWidth="1"/>
    <col min="3" max="3" width="15.7109375" style="4" customWidth="1"/>
    <col min="4" max="5" width="15.7109375" style="3" customWidth="1"/>
    <col min="6" max="6" width="11.5703125" style="19" hidden="1" customWidth="1"/>
    <col min="7" max="7" width="10.85546875" hidden="1" customWidth="1"/>
    <col min="8" max="8" width="13.85546875" hidden="1" customWidth="1"/>
    <col min="9" max="9" width="10.28515625" hidden="1" customWidth="1"/>
    <col min="10" max="10" width="9.28515625" hidden="1" customWidth="1"/>
  </cols>
  <sheetData>
    <row r="1" spans="1:13" s="1" customFormat="1" ht="18" x14ac:dyDescent="0.2">
      <c r="A1" s="85" t="str">
        <f>+Header!A18</f>
        <v>Blind and Low Vision Education Network NZ</v>
      </c>
      <c r="B1" s="87"/>
      <c r="C1" s="87"/>
      <c r="D1" s="86"/>
      <c r="E1" s="86"/>
      <c r="F1" s="88"/>
    </row>
    <row r="2" spans="1:13" ht="23.25" x14ac:dyDescent="0.35">
      <c r="A2" s="14" t="s">
        <v>352</v>
      </c>
      <c r="E2" s="131"/>
    </row>
    <row r="3" spans="1:13" ht="18" x14ac:dyDescent="0.25">
      <c r="A3" s="290" t="s">
        <v>1308</v>
      </c>
    </row>
    <row r="4" spans="1:13" s="7" customFormat="1" ht="15" x14ac:dyDescent="0.25">
      <c r="A4" s="312"/>
      <c r="B4" s="313"/>
      <c r="C4" s="313"/>
      <c r="D4" s="278"/>
      <c r="E4" s="278"/>
      <c r="F4" s="45"/>
    </row>
    <row r="5" spans="1:13" ht="15" x14ac:dyDescent="0.25">
      <c r="A5" s="295"/>
      <c r="B5" s="296"/>
      <c r="C5" s="297">
        <v>2017</v>
      </c>
      <c r="D5" s="297">
        <v>2017</v>
      </c>
      <c r="E5" s="297">
        <v>2016</v>
      </c>
    </row>
    <row r="6" spans="1:13" ht="15" x14ac:dyDescent="0.25">
      <c r="A6" s="295"/>
      <c r="B6" s="298" t="s">
        <v>818</v>
      </c>
      <c r="C6" s="301" t="s">
        <v>814</v>
      </c>
      <c r="D6" s="300" t="s">
        <v>815</v>
      </c>
      <c r="E6" s="300" t="s">
        <v>814</v>
      </c>
    </row>
    <row r="7" spans="1:13" ht="15" x14ac:dyDescent="0.25">
      <c r="A7" s="295"/>
      <c r="B7" s="298"/>
      <c r="C7" s="301"/>
      <c r="D7" s="364" t="s">
        <v>369</v>
      </c>
      <c r="E7" s="300"/>
    </row>
    <row r="8" spans="1:13" ht="15" x14ac:dyDescent="0.25">
      <c r="A8" s="295"/>
      <c r="B8" s="298"/>
      <c r="C8" s="301" t="s">
        <v>813</v>
      </c>
      <c r="D8" s="300" t="s">
        <v>813</v>
      </c>
      <c r="E8" s="300" t="s">
        <v>813</v>
      </c>
    </row>
    <row r="9" spans="1:13" ht="15" x14ac:dyDescent="0.25">
      <c r="A9" s="312" t="s">
        <v>304</v>
      </c>
      <c r="B9" s="313"/>
      <c r="C9" s="314"/>
      <c r="D9" s="273"/>
      <c r="E9" s="273"/>
      <c r="F9" s="525">
        <f>25008542-C10</f>
        <v>6302626.4799999967</v>
      </c>
      <c r="H9" s="254"/>
    </row>
    <row r="10" spans="1:13" s="25" customFormat="1" ht="14.25" x14ac:dyDescent="0.2">
      <c r="A10" s="295" t="s">
        <v>322</v>
      </c>
      <c r="B10" s="313">
        <v>2</v>
      </c>
      <c r="C10" s="173">
        <f>+Notes!F18</f>
        <v>18705915.520000003</v>
      </c>
      <c r="D10" s="176">
        <f>+Notes!G18</f>
        <v>17187574</v>
      </c>
      <c r="E10" s="261">
        <f>+Notes!H18</f>
        <v>17823279.420000002</v>
      </c>
      <c r="F10" s="280">
        <f>+Notes!F18</f>
        <v>18705915.520000003</v>
      </c>
      <c r="G10" s="175">
        <f>+Notes!G18</f>
        <v>17187574</v>
      </c>
      <c r="H10" s="175">
        <f>+Notes!H18</f>
        <v>17823279.420000002</v>
      </c>
      <c r="I10" s="175"/>
      <c r="J10" s="253"/>
    </row>
    <row r="11" spans="1:13" s="25" customFormat="1" ht="14.25" x14ac:dyDescent="0.2">
      <c r="A11" s="252" t="s">
        <v>370</v>
      </c>
      <c r="B11" s="313">
        <v>3</v>
      </c>
      <c r="C11" s="173">
        <f>+Notes!F30</f>
        <v>292319.59999999998</v>
      </c>
      <c r="D11" s="176">
        <f>+Notes!G30</f>
        <v>197406</v>
      </c>
      <c r="E11" s="261">
        <f>+Notes!H30</f>
        <v>234527.07</v>
      </c>
      <c r="F11" s="280">
        <f>86542+204188</f>
        <v>290730</v>
      </c>
      <c r="G11" s="175"/>
      <c r="H11" s="175"/>
      <c r="I11" s="175"/>
    </row>
    <row r="12" spans="1:13" s="25" customFormat="1" ht="14.25" x14ac:dyDescent="0.2">
      <c r="A12" s="295" t="s">
        <v>1231</v>
      </c>
      <c r="B12" s="313"/>
      <c r="C12" s="283">
        <f>+'Codes allocation'!C120</f>
        <v>276158.87</v>
      </c>
      <c r="D12" s="176">
        <f>+'Codes allocation'!E120</f>
        <v>140000</v>
      </c>
      <c r="E12" s="261">
        <f>+'Codes allocation'!G120</f>
        <v>229862.37</v>
      </c>
      <c r="F12" s="28"/>
      <c r="M12" s="98"/>
    </row>
    <row r="13" spans="1:13" s="25" customFormat="1" ht="14.25" x14ac:dyDescent="0.2">
      <c r="A13" s="295" t="s">
        <v>371</v>
      </c>
      <c r="B13" s="313"/>
      <c r="C13" s="174">
        <v>0</v>
      </c>
      <c r="D13" s="334">
        <v>0</v>
      </c>
      <c r="E13" s="262">
        <v>0</v>
      </c>
      <c r="F13" s="28"/>
      <c r="M13" s="98"/>
    </row>
    <row r="14" spans="1:13" s="25" customFormat="1" ht="14.25" x14ac:dyDescent="0.2">
      <c r="A14" s="295"/>
      <c r="B14" s="313"/>
      <c r="C14" s="553">
        <f>SUM(C10:C13)</f>
        <v>19274393.990000006</v>
      </c>
      <c r="D14" s="272">
        <f>SUM(D10:D13)</f>
        <v>17524980</v>
      </c>
      <c r="E14" s="261">
        <f>SUM(E10:E13)</f>
        <v>18287668.860000003</v>
      </c>
      <c r="F14" s="280">
        <f>25536335-25529134</f>
        <v>7201</v>
      </c>
      <c r="G14" s="344"/>
      <c r="M14" s="96"/>
    </row>
    <row r="15" spans="1:13" ht="14.25" x14ac:dyDescent="0.2">
      <c r="A15" s="295"/>
      <c r="B15" s="313"/>
      <c r="C15" s="264"/>
      <c r="D15" s="263"/>
      <c r="E15" s="264"/>
      <c r="F15" s="281"/>
      <c r="M15" s="96"/>
    </row>
    <row r="16" spans="1:13" ht="15" x14ac:dyDescent="0.25">
      <c r="A16" s="312" t="s">
        <v>305</v>
      </c>
      <c r="B16" s="313"/>
      <c r="C16" s="264"/>
      <c r="D16" s="263"/>
      <c r="E16" s="264"/>
      <c r="F16" s="97"/>
    </row>
    <row r="17" spans="1:14" ht="14.25" x14ac:dyDescent="0.2">
      <c r="A17" s="252" t="s">
        <v>370</v>
      </c>
      <c r="B17" s="313">
        <v>3</v>
      </c>
      <c r="C17" s="261">
        <f>+Notes!F36</f>
        <v>278314.86</v>
      </c>
      <c r="D17" s="176">
        <f>+Notes!G36</f>
        <v>262830</v>
      </c>
      <c r="E17" s="261">
        <f>+Notes!H36</f>
        <v>313696</v>
      </c>
      <c r="G17" s="177"/>
      <c r="H17" s="177"/>
      <c r="I17" s="177"/>
    </row>
    <row r="18" spans="1:14" ht="14.25" x14ac:dyDescent="0.2">
      <c r="A18" s="295" t="s">
        <v>819</v>
      </c>
      <c r="B18" s="313">
        <v>4</v>
      </c>
      <c r="C18" s="261">
        <f>+Notes!F53</f>
        <v>9112474.5700000003</v>
      </c>
      <c r="D18" s="176">
        <f>+Notes!G53</f>
        <v>8800075</v>
      </c>
      <c r="E18" s="261">
        <f>+Notes!H53</f>
        <v>8941827.2199999988</v>
      </c>
      <c r="F18" s="332">
        <f>+C18-16834069</f>
        <v>-7721594.4299999997</v>
      </c>
      <c r="G18" s="5"/>
      <c r="H18" s="5">
        <f t="shared" ref="H18:H26" si="0">+F18-C18</f>
        <v>-16834069</v>
      </c>
      <c r="I18" s="5">
        <f t="shared" ref="I18:I26" si="1">+G18-D18</f>
        <v>-8800075</v>
      </c>
      <c r="J18" s="5" t="s">
        <v>417</v>
      </c>
      <c r="K18" s="331"/>
    </row>
    <row r="19" spans="1:14" ht="14.25" x14ac:dyDescent="0.2">
      <c r="A19" s="295" t="s">
        <v>820</v>
      </c>
      <c r="B19" s="313">
        <v>5</v>
      </c>
      <c r="C19" s="261">
        <f>+Notes!F73</f>
        <v>746018.24</v>
      </c>
      <c r="D19" s="176">
        <f>+Notes!G73</f>
        <v>892637</v>
      </c>
      <c r="E19" s="261">
        <f>+Notes!H73</f>
        <v>772421.74</v>
      </c>
      <c r="F19" s="50">
        <f>+C19-715596</f>
        <v>30422.239999999991</v>
      </c>
      <c r="G19" s="5"/>
      <c r="H19" s="5">
        <f t="shared" si="0"/>
        <v>-715596</v>
      </c>
      <c r="I19" s="5">
        <f t="shared" si="1"/>
        <v>-892637</v>
      </c>
    </row>
    <row r="20" spans="1:14" ht="14.25" x14ac:dyDescent="0.2">
      <c r="A20" s="295" t="s">
        <v>825</v>
      </c>
      <c r="B20" s="313">
        <v>6</v>
      </c>
      <c r="C20" s="261">
        <f>+Notes!F90</f>
        <v>2866475.13</v>
      </c>
      <c r="D20" s="176">
        <f>+Notes!G90</f>
        <v>2040569</v>
      </c>
      <c r="E20" s="261">
        <f>+Notes!H90</f>
        <v>2200576.2599999998</v>
      </c>
      <c r="F20" s="50"/>
      <c r="G20" s="5"/>
      <c r="H20" s="5">
        <f t="shared" si="0"/>
        <v>-2866475.13</v>
      </c>
      <c r="I20" s="5">
        <f t="shared" si="1"/>
        <v>-2040569</v>
      </c>
    </row>
    <row r="21" spans="1:14" ht="14.25" x14ac:dyDescent="0.2">
      <c r="A21" s="295" t="s">
        <v>1232</v>
      </c>
      <c r="B21" s="313"/>
      <c r="C21" s="261">
        <f>+'Codes allocation'!D917</f>
        <v>11528.19</v>
      </c>
      <c r="D21" s="176">
        <v>0</v>
      </c>
      <c r="E21" s="261">
        <v>3668</v>
      </c>
      <c r="F21" s="50"/>
      <c r="G21" s="5"/>
      <c r="H21" s="5"/>
      <c r="I21" s="5"/>
    </row>
    <row r="22" spans="1:14" ht="14.25" x14ac:dyDescent="0.2">
      <c r="A22" s="295" t="s">
        <v>927</v>
      </c>
      <c r="B22" s="313">
        <v>7</v>
      </c>
      <c r="C22" s="261">
        <f>+Notes!F110</f>
        <v>2430043.69</v>
      </c>
      <c r="D22" s="176">
        <f>+Notes!G110</f>
        <v>3187265</v>
      </c>
      <c r="E22" s="261">
        <f>+Notes!H110</f>
        <v>2470965.36</v>
      </c>
      <c r="F22" s="50"/>
      <c r="G22" s="5"/>
      <c r="H22" s="5">
        <f t="shared" si="0"/>
        <v>-2430043.69</v>
      </c>
      <c r="I22" s="5">
        <f t="shared" si="1"/>
        <v>-3187265</v>
      </c>
      <c r="J22" t="s">
        <v>758</v>
      </c>
      <c r="N22" s="5"/>
    </row>
    <row r="23" spans="1:14" ht="14.25" x14ac:dyDescent="0.2">
      <c r="A23" s="295" t="s">
        <v>928</v>
      </c>
      <c r="B23" s="313">
        <v>8</v>
      </c>
      <c r="C23" s="261">
        <f>+Notes!F126</f>
        <v>591463.57999999996</v>
      </c>
      <c r="D23" s="176">
        <f>+Notes!G126</f>
        <v>639169</v>
      </c>
      <c r="E23" s="261">
        <f>+Notes!H126</f>
        <v>582984.69000000006</v>
      </c>
      <c r="F23" s="50">
        <v>582820</v>
      </c>
      <c r="G23" s="5">
        <f>+F23-C23</f>
        <v>-8643.5799999999581</v>
      </c>
      <c r="H23" s="5">
        <f t="shared" si="0"/>
        <v>-8643.5799999999581</v>
      </c>
      <c r="I23" s="5">
        <f t="shared" si="1"/>
        <v>-647812.57999999996</v>
      </c>
      <c r="J23" t="s">
        <v>759</v>
      </c>
      <c r="L23" s="5"/>
    </row>
    <row r="24" spans="1:14" ht="14.25" x14ac:dyDescent="0.2">
      <c r="A24" s="295" t="str">
        <f>+Notes!B128</f>
        <v>Ongoing Resourcing Scheme</v>
      </c>
      <c r="B24" s="313">
        <v>9</v>
      </c>
      <c r="C24" s="261">
        <f>+Notes!F140</f>
        <v>407981.11</v>
      </c>
      <c r="D24" s="176">
        <f>+Notes!G140</f>
        <v>503139</v>
      </c>
      <c r="E24" s="261">
        <f>+Notes!H140</f>
        <v>388133.70999999996</v>
      </c>
      <c r="F24" s="50">
        <v>388134</v>
      </c>
      <c r="G24" s="5"/>
      <c r="H24" s="5">
        <f t="shared" si="0"/>
        <v>-19847.109999999986</v>
      </c>
      <c r="I24" s="5">
        <f t="shared" si="1"/>
        <v>-503139</v>
      </c>
    </row>
    <row r="25" spans="1:14" ht="14.25" x14ac:dyDescent="0.2">
      <c r="A25" s="295" t="s">
        <v>918</v>
      </c>
      <c r="B25" s="313">
        <v>10</v>
      </c>
      <c r="C25" s="261">
        <f>+Notes!F157</f>
        <v>1010157.75</v>
      </c>
      <c r="D25" s="176">
        <f>+Notes!G157</f>
        <v>1470527</v>
      </c>
      <c r="E25" s="261">
        <f>+Notes!H157</f>
        <v>1344864.1199999996</v>
      </c>
      <c r="F25" s="50"/>
      <c r="G25" s="5"/>
      <c r="H25" s="5">
        <f t="shared" si="0"/>
        <v>-1010157.75</v>
      </c>
      <c r="I25" s="5">
        <f t="shared" si="1"/>
        <v>-1470527</v>
      </c>
      <c r="J25" t="s">
        <v>760</v>
      </c>
    </row>
    <row r="26" spans="1:14" ht="14.25" x14ac:dyDescent="0.2">
      <c r="A26" s="295" t="s">
        <v>821</v>
      </c>
      <c r="B26" s="313">
        <v>11</v>
      </c>
      <c r="C26" s="264">
        <f>+'Codes allocation'!C913</f>
        <v>395909.16</v>
      </c>
      <c r="D26" s="464">
        <v>313000</v>
      </c>
      <c r="E26" s="264">
        <f>+Notes!H169</f>
        <v>372620</v>
      </c>
      <c r="F26" s="50">
        <f>657573-667370</f>
        <v>-9797</v>
      </c>
      <c r="G26" s="5"/>
      <c r="H26" s="5">
        <f t="shared" si="0"/>
        <v>-405706.16</v>
      </c>
      <c r="I26" s="5">
        <f t="shared" si="1"/>
        <v>-313000</v>
      </c>
    </row>
    <row r="27" spans="1:14" ht="14.25" x14ac:dyDescent="0.2">
      <c r="A27" s="295" t="s">
        <v>402</v>
      </c>
      <c r="B27" s="313"/>
      <c r="C27" s="262">
        <f>+'Codes allocation'!D915</f>
        <v>4440.8099999999995</v>
      </c>
      <c r="D27" s="334">
        <v>0</v>
      </c>
      <c r="E27" s="262">
        <v>7200</v>
      </c>
      <c r="F27" s="50"/>
      <c r="G27" s="5"/>
      <c r="H27" s="5"/>
      <c r="I27" s="5"/>
    </row>
    <row r="28" spans="1:14" ht="14.25" x14ac:dyDescent="0.2">
      <c r="A28" s="295"/>
      <c r="B28" s="313"/>
      <c r="C28" s="261">
        <f>SUM(C17:C27)</f>
        <v>17854807.089999996</v>
      </c>
      <c r="D28" s="261">
        <f>SUM(D17:D26)+1</f>
        <v>18109212</v>
      </c>
      <c r="E28" s="261">
        <f>SUM(E17:E27)</f>
        <v>17398957.099999998</v>
      </c>
      <c r="F28" s="259">
        <f>+C28-24927284</f>
        <v>-7072476.9100000039</v>
      </c>
      <c r="G28" s="331">
        <f>7200-F28</f>
        <v>7079676.9100000039</v>
      </c>
    </row>
    <row r="29" spans="1:14" ht="14.25" x14ac:dyDescent="0.2">
      <c r="A29" s="295"/>
      <c r="B29" s="313"/>
      <c r="C29" s="264"/>
      <c r="D29" s="263"/>
      <c r="E29" s="264"/>
      <c r="F29" s="259">
        <f>21760963-21785480</f>
        <v>-24517</v>
      </c>
      <c r="G29" s="254">
        <f>+F29+F19</f>
        <v>5905.2399999999907</v>
      </c>
    </row>
    <row r="30" spans="1:14" ht="15" x14ac:dyDescent="0.25">
      <c r="A30" s="312" t="s">
        <v>1040</v>
      </c>
      <c r="B30" s="313"/>
      <c r="C30" s="265">
        <f>SUM(C14-C28)</f>
        <v>1419586.9000000097</v>
      </c>
      <c r="D30" s="266">
        <f>+D14-D28</f>
        <v>-584232</v>
      </c>
      <c r="E30" s="265">
        <f>SUM(E14-E28)-1</f>
        <v>888710.76000000536</v>
      </c>
      <c r="F30" s="260"/>
      <c r="G30" s="47"/>
    </row>
    <row r="31" spans="1:14" ht="14.25" x14ac:dyDescent="0.2">
      <c r="A31" s="295"/>
      <c r="B31" s="313"/>
      <c r="C31" s="267"/>
      <c r="D31" s="268"/>
      <c r="E31" s="291"/>
      <c r="F31" s="50"/>
    </row>
    <row r="32" spans="1:14" ht="12.75" customHeight="1" x14ac:dyDescent="0.2">
      <c r="A32" s="295" t="s">
        <v>372</v>
      </c>
      <c r="B32" s="313"/>
      <c r="C32" s="269">
        <v>0</v>
      </c>
      <c r="D32" s="270">
        <v>0</v>
      </c>
      <c r="E32" s="292">
        <v>0</v>
      </c>
      <c r="F32" s="18"/>
    </row>
    <row r="33" spans="1:7" ht="14.25" x14ac:dyDescent="0.2">
      <c r="A33" s="295"/>
      <c r="B33" s="313"/>
      <c r="C33" s="269"/>
      <c r="D33" s="270"/>
      <c r="E33" s="292"/>
    </row>
    <row r="34" spans="1:7" ht="15.75" thickBot="1" x14ac:dyDescent="0.3">
      <c r="A34" s="312" t="s">
        <v>373</v>
      </c>
      <c r="B34" s="313"/>
      <c r="C34" s="271">
        <f>C30+C32</f>
        <v>1419586.9000000097</v>
      </c>
      <c r="D34" s="271">
        <f>D30+D32</f>
        <v>-584232</v>
      </c>
      <c r="E34" s="293">
        <f>E30+E32</f>
        <v>888710.76000000536</v>
      </c>
      <c r="F34" s="19">
        <v>601850</v>
      </c>
      <c r="G34" s="284">
        <f>+F34-C34</f>
        <v>-817736.90000000969</v>
      </c>
    </row>
    <row r="35" spans="1:7" ht="15" x14ac:dyDescent="0.25">
      <c r="A35" s="312" t="s">
        <v>374</v>
      </c>
      <c r="B35" s="313"/>
      <c r="C35" s="269"/>
      <c r="D35" s="270"/>
      <c r="E35" s="292"/>
      <c r="F35" s="330"/>
      <c r="G35" s="284"/>
    </row>
    <row r="36" spans="1:7" ht="15" x14ac:dyDescent="0.25">
      <c r="A36" s="312"/>
      <c r="B36" s="313"/>
      <c r="C36" s="270"/>
      <c r="D36" s="270"/>
      <c r="E36" s="292"/>
    </row>
    <row r="37" spans="1:7" ht="15" x14ac:dyDescent="0.25">
      <c r="A37" s="312"/>
      <c r="B37" s="313"/>
      <c r="C37" s="313"/>
      <c r="D37" s="278"/>
      <c r="E37" s="315"/>
    </row>
    <row r="38" spans="1:7" ht="14.25" x14ac:dyDescent="0.2">
      <c r="A38" s="295"/>
      <c r="B38" s="313"/>
      <c r="C38" s="313"/>
      <c r="D38" s="278"/>
      <c r="E38" s="315"/>
    </row>
    <row r="39" spans="1:7" s="7" customFormat="1" x14ac:dyDescent="0.2">
      <c r="A39" s="108" t="s">
        <v>1045</v>
      </c>
      <c r="B39" s="44"/>
      <c r="C39" s="44"/>
      <c r="D39" s="21"/>
      <c r="E39" s="198"/>
      <c r="F39" s="45"/>
    </row>
    <row r="40" spans="1:7" x14ac:dyDescent="0.2">
      <c r="A40" s="20"/>
    </row>
    <row r="41" spans="1:7" x14ac:dyDescent="0.2">
      <c r="A41" s="20"/>
    </row>
  </sheetData>
  <customSheetViews>
    <customSheetView guid="{16158AC0-BDC0-11D7-BABA-AD30328A5118}" showPageBreaks="1" showGridLines="0" printArea="1" showRuler="0">
      <selection activeCell="B30" sqref="B30"/>
      <pageMargins left="0.74803149606299213" right="0.74803149606299213" top="0.51181102362204722" bottom="0.51181102362204722" header="0.51181102362204722" footer="0.51181102362204722"/>
      <printOptions horizontalCentered="1"/>
      <pageSetup paperSize="9" orientation="portrait" horizontalDpi="4294967292" verticalDpi="4294967292" r:id="rId1"/>
      <headerFooter alignWithMargins="0"/>
    </customSheetView>
    <customSheetView guid="{2F1C2500-C7E9-11D7-BAB9-00065B3658C6}" showGridLines="0" showRuler="0">
      <selection activeCell="B30" sqref="B30"/>
      <pageMargins left="0.74803149606299213" right="0.74803149606299213" top="0.51181102362204722" bottom="0.51181102362204722" header="0.51181102362204722" footer="0.51181102362204722"/>
      <printOptions horizontalCentered="1"/>
      <pageSetup paperSize="9" orientation="portrait" horizontalDpi="4294967292" verticalDpi="4294967292" r:id="rId2"/>
      <headerFooter alignWithMargins="0"/>
    </customSheetView>
  </customSheetViews>
  <phoneticPr fontId="16" type="noConversion"/>
  <printOptions horizontalCentered="1"/>
  <pageMargins left="0.70866141732283472" right="0.70866141732283472" top="0.74803149606299213" bottom="0.74803149606299213" header="0.31496062992125984" footer="0.31496062992125984"/>
  <pageSetup paperSize="9" scale="99" orientation="portrait" r:id="rId3"/>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55"/>
  <sheetViews>
    <sheetView showGridLines="0" view="pageBreakPreview" zoomScale="85" zoomScaleNormal="100" zoomScaleSheetLayoutView="85" workbookViewId="0">
      <selection activeCell="A39" sqref="A39:E39"/>
    </sheetView>
  </sheetViews>
  <sheetFormatPr defaultColWidth="8.85546875" defaultRowHeight="12.75" x14ac:dyDescent="0.2"/>
  <cols>
    <col min="1" max="1" width="45.7109375" customWidth="1"/>
    <col min="2" max="2" width="8.7109375" customWidth="1"/>
    <col min="3" max="3" width="14.140625" customWidth="1"/>
    <col min="4" max="5" width="15.7109375" style="3" customWidth="1"/>
    <col min="6" max="6" width="15.7109375" customWidth="1"/>
    <col min="7" max="7" width="9.28515625" bestFit="1" customWidth="1"/>
  </cols>
  <sheetData>
    <row r="1" spans="1:15" s="1" customFormat="1" ht="18" x14ac:dyDescent="0.2">
      <c r="A1" s="85" t="str">
        <f>+Data!B6</f>
        <v>Blind and Low Vision Education Network NZ</v>
      </c>
      <c r="D1" s="86"/>
      <c r="E1" s="86"/>
    </row>
    <row r="2" spans="1:15" ht="23.25" x14ac:dyDescent="0.35">
      <c r="A2" s="14" t="s">
        <v>353</v>
      </c>
    </row>
    <row r="3" spans="1:15" s="13" customFormat="1" ht="18" x14ac:dyDescent="0.2">
      <c r="A3" s="89" t="str">
        <f>'Comprehensive Income'!A3</f>
        <v>For the year ended 31 December 2017</v>
      </c>
    </row>
    <row r="4" spans="1:15" s="39" customFormat="1" ht="14.25" x14ac:dyDescent="0.2">
      <c r="A4" s="294"/>
      <c r="B4" s="294"/>
      <c r="C4" s="294"/>
      <c r="D4" s="294"/>
      <c r="E4" s="294"/>
      <c r="F4" s="326"/>
      <c r="G4" s="326"/>
      <c r="H4" s="326"/>
      <c r="I4" s="326"/>
      <c r="J4" s="326"/>
      <c r="K4" s="326"/>
      <c r="L4" s="326"/>
      <c r="M4" s="326"/>
      <c r="N4" s="326"/>
      <c r="O4" s="326"/>
    </row>
    <row r="5" spans="1:15" ht="15" x14ac:dyDescent="0.25">
      <c r="A5" s="295"/>
      <c r="B5" s="296"/>
      <c r="C5" s="297">
        <f>'Comprehensive Income'!C5</f>
        <v>2017</v>
      </c>
      <c r="D5" s="297">
        <f>'Comprehensive Income'!D5</f>
        <v>2017</v>
      </c>
      <c r="E5" s="297">
        <f>'Comprehensive Income'!E5</f>
        <v>2016</v>
      </c>
      <c r="F5" s="19"/>
      <c r="G5" s="19"/>
      <c r="H5" s="19"/>
      <c r="I5" s="19"/>
      <c r="J5" s="19"/>
      <c r="K5" s="19"/>
      <c r="L5" s="19"/>
      <c r="M5" s="19"/>
      <c r="N5" s="19"/>
      <c r="O5" s="19"/>
    </row>
    <row r="6" spans="1:15" ht="15" x14ac:dyDescent="0.25">
      <c r="A6" s="295"/>
      <c r="B6" s="298" t="s">
        <v>818</v>
      </c>
      <c r="C6" s="299" t="s">
        <v>814</v>
      </c>
      <c r="D6" s="300" t="s">
        <v>815</v>
      </c>
      <c r="E6" s="300" t="s">
        <v>814</v>
      </c>
      <c r="F6" s="19"/>
      <c r="G6" s="19"/>
      <c r="H6" s="19"/>
      <c r="I6" s="19"/>
      <c r="J6" s="19"/>
      <c r="K6" s="19"/>
      <c r="L6" s="19"/>
      <c r="M6" s="19"/>
      <c r="N6" s="19"/>
      <c r="O6" s="19"/>
    </row>
    <row r="7" spans="1:15" ht="15" x14ac:dyDescent="0.25">
      <c r="A7" s="295"/>
      <c r="B7" s="298"/>
      <c r="C7" s="299"/>
      <c r="D7" s="364" t="s">
        <v>369</v>
      </c>
      <c r="E7" s="300"/>
      <c r="F7" s="19"/>
      <c r="G7" s="19"/>
      <c r="H7" s="19"/>
      <c r="I7" s="19"/>
      <c r="J7" s="19"/>
      <c r="K7" s="19"/>
      <c r="L7" s="19"/>
      <c r="M7" s="19"/>
      <c r="N7" s="19"/>
      <c r="O7" s="19"/>
    </row>
    <row r="8" spans="1:15" ht="15" x14ac:dyDescent="0.25">
      <c r="A8" s="295"/>
      <c r="B8" s="298"/>
      <c r="C8" s="299" t="s">
        <v>813</v>
      </c>
      <c r="D8" s="300" t="s">
        <v>813</v>
      </c>
      <c r="E8" s="300" t="s">
        <v>813</v>
      </c>
      <c r="F8" s="19"/>
      <c r="G8" s="53"/>
      <c r="H8" s="19"/>
      <c r="I8" s="19"/>
      <c r="J8" s="19"/>
      <c r="K8" s="19"/>
      <c r="L8" s="19"/>
      <c r="M8" s="19"/>
      <c r="N8" s="19"/>
      <c r="O8" s="19"/>
    </row>
    <row r="9" spans="1:15" ht="15" x14ac:dyDescent="0.25">
      <c r="A9" s="295"/>
      <c r="B9" s="298"/>
      <c r="C9" s="301"/>
      <c r="D9" s="300"/>
      <c r="E9" s="301"/>
      <c r="F9" s="19"/>
      <c r="G9" s="19"/>
      <c r="H9" s="19"/>
      <c r="I9" s="19"/>
      <c r="J9" s="19"/>
      <c r="K9" s="19"/>
      <c r="L9" s="19"/>
      <c r="M9" s="19"/>
      <c r="N9" s="19"/>
      <c r="O9" s="19"/>
    </row>
    <row r="10" spans="1:15" ht="15.75" thickBot="1" x14ac:dyDescent="0.3">
      <c r="A10" s="302" t="s">
        <v>375</v>
      </c>
      <c r="B10" s="295"/>
      <c r="C10" s="303">
        <f>+E16</f>
        <v>9803607.7600000054</v>
      </c>
      <c r="D10" s="304">
        <f>+E16</f>
        <v>9803607.7600000054</v>
      </c>
      <c r="E10" s="303">
        <v>8851248</v>
      </c>
      <c r="F10" s="327"/>
      <c r="G10" s="328"/>
      <c r="H10" s="19"/>
      <c r="I10" s="19"/>
      <c r="J10" s="19"/>
      <c r="K10" s="19"/>
      <c r="L10" s="19"/>
      <c r="M10" s="19"/>
      <c r="N10" s="19"/>
      <c r="O10" s="19"/>
    </row>
    <row r="11" spans="1:15" ht="14.25" x14ac:dyDescent="0.2">
      <c r="A11" s="295"/>
      <c r="B11" s="295"/>
      <c r="C11" s="305"/>
      <c r="D11" s="306"/>
      <c r="E11" s="307"/>
      <c r="F11" s="19"/>
      <c r="G11" s="19"/>
      <c r="H11" s="19"/>
      <c r="I11" s="19"/>
      <c r="J11" s="19"/>
      <c r="K11" s="19"/>
      <c r="L11" s="19"/>
      <c r="M11" s="19"/>
      <c r="N11" s="19"/>
      <c r="O11" s="19"/>
    </row>
    <row r="12" spans="1:15" ht="14.25" x14ac:dyDescent="0.2">
      <c r="A12" s="295" t="s">
        <v>376</v>
      </c>
      <c r="B12" s="313"/>
      <c r="C12" s="308">
        <f>'Comprehensive Income'!C30</f>
        <v>1419586.9000000097</v>
      </c>
      <c r="D12" s="309">
        <f>+'Comprehensive Income'!D34</f>
        <v>-584232</v>
      </c>
      <c r="E12" s="308">
        <f>+'Comprehensive Income'!E34</f>
        <v>888710.76000000536</v>
      </c>
      <c r="F12" s="19"/>
      <c r="G12" s="19"/>
      <c r="H12" s="19"/>
      <c r="I12" s="19"/>
      <c r="J12" s="19"/>
      <c r="K12" s="19"/>
      <c r="L12" s="19"/>
      <c r="M12" s="19"/>
      <c r="N12" s="19"/>
      <c r="O12" s="19"/>
    </row>
    <row r="13" spans="1:15" ht="14.25" x14ac:dyDescent="0.2">
      <c r="A13" s="295" t="s">
        <v>377</v>
      </c>
      <c r="B13" s="313"/>
      <c r="C13" s="311">
        <v>0</v>
      </c>
      <c r="D13" s="311">
        <v>0</v>
      </c>
      <c r="E13" s="310">
        <v>0</v>
      </c>
      <c r="F13" s="19"/>
      <c r="G13" s="19"/>
      <c r="H13" s="45"/>
      <c r="I13" s="19"/>
      <c r="J13" s="19"/>
      <c r="K13" s="19"/>
      <c r="L13" s="19"/>
      <c r="M13" s="19"/>
      <c r="N13" s="19"/>
      <c r="O13" s="19"/>
    </row>
    <row r="14" spans="1:15" ht="14.25" x14ac:dyDescent="0.2">
      <c r="A14" s="295" t="s">
        <v>378</v>
      </c>
      <c r="B14" s="313"/>
      <c r="C14" s="311">
        <v>0</v>
      </c>
      <c r="D14" s="311"/>
      <c r="E14" s="310">
        <v>63649</v>
      </c>
      <c r="F14" s="19"/>
      <c r="G14" s="19"/>
      <c r="H14" s="45"/>
      <c r="I14" s="19"/>
      <c r="J14" s="19"/>
      <c r="K14" s="19"/>
      <c r="L14" s="19"/>
      <c r="M14" s="19"/>
      <c r="N14" s="19"/>
      <c r="O14" s="19"/>
    </row>
    <row r="15" spans="1:15" ht="14.25" x14ac:dyDescent="0.2">
      <c r="A15" s="295" t="s">
        <v>639</v>
      </c>
      <c r="B15" s="313"/>
      <c r="C15" s="309">
        <v>0</v>
      </c>
      <c r="D15" s="306"/>
      <c r="E15" s="309"/>
      <c r="F15" s="19"/>
      <c r="G15" s="19"/>
      <c r="H15" s="19"/>
      <c r="I15" s="19"/>
      <c r="J15" s="19"/>
      <c r="K15" s="19"/>
      <c r="L15" s="19"/>
      <c r="M15" s="19"/>
      <c r="N15" s="19"/>
      <c r="O15" s="19"/>
    </row>
    <row r="16" spans="1:15" ht="15.75" thickBot="1" x14ac:dyDescent="0.3">
      <c r="A16" s="312" t="s">
        <v>379</v>
      </c>
      <c r="B16" s="313"/>
      <c r="C16" s="303">
        <f>SUM(C10:C15)-1</f>
        <v>11223193.660000015</v>
      </c>
      <c r="D16" s="303">
        <f>SUM(D10:D15)</f>
        <v>9219375.7600000054</v>
      </c>
      <c r="E16" s="303">
        <f>SUM(E10:E15)</f>
        <v>9803607.7600000054</v>
      </c>
      <c r="F16" s="19"/>
      <c r="G16" s="19"/>
      <c r="H16" s="19"/>
      <c r="I16" s="19"/>
      <c r="J16" s="19"/>
      <c r="K16" s="19"/>
      <c r="L16" s="19"/>
      <c r="M16" s="19"/>
      <c r="N16" s="19"/>
      <c r="O16" s="19"/>
    </row>
    <row r="17" spans="1:15" ht="14.25" x14ac:dyDescent="0.2">
      <c r="A17" s="295"/>
      <c r="B17" s="313"/>
      <c r="C17" s="278"/>
      <c r="D17" s="278"/>
      <c r="E17" s="273"/>
      <c r="F17" s="327"/>
      <c r="G17" s="19"/>
      <c r="H17" s="19"/>
      <c r="I17" s="19"/>
      <c r="J17" s="19"/>
      <c r="K17" s="19"/>
      <c r="L17" s="19"/>
      <c r="M17" s="19"/>
      <c r="N17" s="19"/>
      <c r="O17" s="19"/>
    </row>
    <row r="18" spans="1:15" ht="14.25" x14ac:dyDescent="0.2">
      <c r="A18" s="295" t="s">
        <v>380</v>
      </c>
      <c r="B18" s="313"/>
      <c r="C18" s="365">
        <f>+C16</f>
        <v>11223193.660000015</v>
      </c>
      <c r="D18" s="365">
        <f>+D16</f>
        <v>9219375.7600000054</v>
      </c>
      <c r="E18" s="463">
        <f>+E16</f>
        <v>9803607.7600000054</v>
      </c>
      <c r="F18" s="327"/>
      <c r="G18" s="19"/>
      <c r="H18" s="19"/>
      <c r="I18" s="19"/>
      <c r="J18" s="19"/>
      <c r="K18" s="19"/>
      <c r="L18" s="19"/>
      <c r="M18" s="19"/>
      <c r="N18" s="19"/>
      <c r="O18" s="19"/>
    </row>
    <row r="19" spans="1:15" ht="14.25" x14ac:dyDescent="0.2">
      <c r="A19" s="295" t="s">
        <v>381</v>
      </c>
      <c r="B19" s="313"/>
      <c r="C19" s="278"/>
      <c r="D19" s="278"/>
      <c r="E19" s="273"/>
      <c r="F19" s="327"/>
      <c r="G19" s="19"/>
      <c r="H19" s="19"/>
      <c r="I19" s="19"/>
      <c r="J19" s="19"/>
      <c r="K19" s="19"/>
      <c r="L19" s="19"/>
      <c r="M19" s="19"/>
      <c r="N19" s="19"/>
      <c r="O19" s="19"/>
    </row>
    <row r="20" spans="1:15" ht="14.25" x14ac:dyDescent="0.2">
      <c r="A20" s="295"/>
      <c r="B20" s="313"/>
      <c r="C20" s="278"/>
      <c r="D20" s="278"/>
      <c r="E20" s="273"/>
      <c r="F20" s="327"/>
      <c r="G20" s="19"/>
      <c r="H20" s="19"/>
      <c r="I20" s="19"/>
      <c r="J20" s="19"/>
      <c r="K20" s="19"/>
      <c r="L20" s="19"/>
      <c r="M20" s="19"/>
      <c r="N20" s="19"/>
      <c r="O20" s="19"/>
    </row>
    <row r="21" spans="1:15" ht="14.25" x14ac:dyDescent="0.2">
      <c r="A21" s="295" t="s">
        <v>640</v>
      </c>
      <c r="B21" s="313"/>
      <c r="C21" s="335">
        <f>+E23</f>
        <v>209528</v>
      </c>
      <c r="D21" s="278"/>
      <c r="E21" s="309">
        <v>214528</v>
      </c>
      <c r="F21" s="19"/>
      <c r="G21" s="19"/>
      <c r="H21" s="19"/>
      <c r="I21" s="19"/>
      <c r="J21" s="19"/>
      <c r="K21" s="19"/>
      <c r="L21" s="19"/>
      <c r="M21" s="19"/>
      <c r="N21" s="19"/>
      <c r="O21" s="19"/>
    </row>
    <row r="22" spans="1:15" ht="14.25" x14ac:dyDescent="0.2">
      <c r="A22" s="295" t="s">
        <v>641</v>
      </c>
      <c r="B22" s="4"/>
      <c r="C22" s="309">
        <f>+C23-C21</f>
        <v>-1500.2599999999802</v>
      </c>
      <c r="E22" s="309">
        <v>-5000</v>
      </c>
      <c r="F22" s="19"/>
      <c r="G22" s="19"/>
      <c r="H22" s="19"/>
      <c r="I22" s="19"/>
      <c r="J22" s="19"/>
      <c r="K22" s="19"/>
      <c r="L22" s="19"/>
      <c r="M22" s="19"/>
      <c r="N22" s="19"/>
      <c r="O22" s="19"/>
    </row>
    <row r="23" spans="1:15" ht="15" thickBot="1" x14ac:dyDescent="0.25">
      <c r="A23" s="295" t="s">
        <v>642</v>
      </c>
      <c r="B23" s="4"/>
      <c r="C23" s="337">
        <f>+'Codes allocation'!D1044</f>
        <v>208027.74000000002</v>
      </c>
      <c r="D23" s="343">
        <f>+E23</f>
        <v>209528</v>
      </c>
      <c r="E23" s="337">
        <f>+E21+E22</f>
        <v>209528</v>
      </c>
      <c r="F23" s="19"/>
      <c r="G23" s="19"/>
      <c r="H23" s="19"/>
      <c r="I23" s="19"/>
      <c r="J23" s="19"/>
      <c r="K23" s="19"/>
      <c r="L23" s="19"/>
      <c r="M23" s="19"/>
      <c r="N23" s="19"/>
      <c r="O23" s="19"/>
    </row>
    <row r="24" spans="1:15" ht="13.5" thickTop="1" x14ac:dyDescent="0.2">
      <c r="A24" s="333"/>
      <c r="B24" s="339"/>
      <c r="C24" s="333"/>
      <c r="D24" s="333"/>
      <c r="E24" s="333"/>
      <c r="F24" s="19"/>
      <c r="G24" s="19"/>
      <c r="H24" s="19"/>
      <c r="I24" s="19"/>
      <c r="J24" s="19"/>
      <c r="K24" s="19"/>
      <c r="L24" s="19"/>
      <c r="M24" s="19"/>
      <c r="N24" s="19"/>
      <c r="O24" s="19"/>
    </row>
    <row r="25" spans="1:15" ht="16.5" thickBot="1" x14ac:dyDescent="0.25">
      <c r="A25" s="336" t="s">
        <v>1344</v>
      </c>
      <c r="B25" s="339"/>
      <c r="C25" s="338">
        <f>+C16+C23</f>
        <v>11431221.400000015</v>
      </c>
      <c r="D25" s="338">
        <f>+D16+D23</f>
        <v>9428903.7600000054</v>
      </c>
      <c r="E25" s="338">
        <f>+E16+E23</f>
        <v>10013135.760000005</v>
      </c>
      <c r="F25" s="19"/>
      <c r="G25" s="19"/>
      <c r="H25" s="19"/>
      <c r="I25" s="19"/>
      <c r="J25" s="19"/>
      <c r="K25" s="19"/>
      <c r="L25" s="19"/>
      <c r="M25" s="19"/>
      <c r="N25" s="19"/>
      <c r="O25" s="19"/>
    </row>
    <row r="26" spans="1:15" ht="13.5" thickTop="1" x14ac:dyDescent="0.2">
      <c r="A26" s="132"/>
      <c r="B26" s="132"/>
      <c r="C26" s="132"/>
      <c r="D26" s="132"/>
      <c r="E26" s="132"/>
      <c r="F26" s="19"/>
      <c r="G26" s="19"/>
      <c r="H26" s="19"/>
      <c r="I26" s="19"/>
      <c r="J26" s="19"/>
      <c r="K26" s="19"/>
      <c r="L26" s="19"/>
      <c r="M26" s="19"/>
      <c r="N26" s="19"/>
      <c r="O26" s="19"/>
    </row>
    <row r="27" spans="1:15" x14ac:dyDescent="0.2">
      <c r="A27" s="132"/>
      <c r="B27" s="132"/>
      <c r="C27" s="132"/>
      <c r="D27" s="132"/>
      <c r="E27" s="132"/>
      <c r="F27" s="19"/>
      <c r="G27" s="19"/>
      <c r="H27" s="19"/>
      <c r="I27" s="19"/>
      <c r="J27" s="19"/>
      <c r="K27" s="19"/>
      <c r="L27" s="19"/>
      <c r="M27" s="19"/>
      <c r="N27" s="19"/>
      <c r="O27" s="19"/>
    </row>
    <row r="28" spans="1:15" x14ac:dyDescent="0.2">
      <c r="A28" s="132"/>
      <c r="B28" s="132"/>
      <c r="C28" s="132"/>
      <c r="D28" s="132"/>
      <c r="E28" s="132"/>
      <c r="F28" s="19"/>
      <c r="G28" s="19"/>
      <c r="H28" s="19"/>
      <c r="I28" s="19"/>
      <c r="J28" s="19"/>
      <c r="K28" s="19"/>
      <c r="L28" s="19"/>
      <c r="M28" s="19"/>
      <c r="N28" s="19"/>
      <c r="O28" s="19"/>
    </row>
    <row r="29" spans="1:15" x14ac:dyDescent="0.2">
      <c r="A29" s="132"/>
      <c r="B29" s="132"/>
      <c r="C29" s="132"/>
      <c r="D29" s="132"/>
      <c r="E29" s="132"/>
      <c r="F29" s="19"/>
      <c r="G29" s="19"/>
      <c r="H29" s="19"/>
      <c r="I29" s="19"/>
      <c r="J29" s="19"/>
      <c r="K29" s="19"/>
      <c r="L29" s="19"/>
      <c r="M29" s="19"/>
      <c r="N29" s="19"/>
      <c r="O29" s="19"/>
    </row>
    <row r="30" spans="1:15" x14ac:dyDescent="0.2">
      <c r="A30" s="132"/>
      <c r="B30" s="132"/>
      <c r="C30" s="132"/>
      <c r="D30" s="132"/>
      <c r="E30" s="132"/>
      <c r="F30" s="19"/>
      <c r="G30" s="19"/>
      <c r="H30" s="19"/>
      <c r="I30" s="19"/>
      <c r="J30" s="19"/>
      <c r="K30" s="19"/>
      <c r="L30" s="19"/>
      <c r="M30" s="19"/>
      <c r="N30" s="19"/>
      <c r="O30" s="19"/>
    </row>
    <row r="31" spans="1:15" x14ac:dyDescent="0.2">
      <c r="A31" s="132"/>
      <c r="B31" s="132"/>
      <c r="C31" s="132"/>
      <c r="D31" s="132"/>
      <c r="E31" s="132"/>
      <c r="F31" s="19"/>
      <c r="G31" s="19"/>
      <c r="H31" s="19"/>
      <c r="I31" s="19"/>
      <c r="J31" s="19"/>
      <c r="K31" s="19"/>
      <c r="L31" s="19"/>
      <c r="M31" s="19"/>
      <c r="N31" s="19"/>
      <c r="O31" s="19"/>
    </row>
    <row r="32" spans="1:15" x14ac:dyDescent="0.2">
      <c r="A32" s="132"/>
      <c r="B32" s="132"/>
      <c r="C32" s="132"/>
      <c r="D32" s="132"/>
      <c r="E32" s="132"/>
      <c r="F32" s="19"/>
      <c r="G32" s="19"/>
      <c r="H32" s="19"/>
      <c r="I32" s="19"/>
      <c r="J32" s="19"/>
      <c r="K32" s="19"/>
      <c r="L32" s="19"/>
      <c r="M32" s="19"/>
      <c r="N32" s="19"/>
      <c r="O32" s="19"/>
    </row>
    <row r="33" spans="1:15" x14ac:dyDescent="0.2">
      <c r="A33" s="132"/>
      <c r="B33" s="132"/>
      <c r="C33" s="132"/>
      <c r="D33" s="132"/>
      <c r="E33" s="132"/>
      <c r="F33" s="19"/>
      <c r="G33" s="19"/>
      <c r="H33" s="19"/>
      <c r="I33" s="19"/>
      <c r="J33" s="19"/>
      <c r="K33" s="19"/>
      <c r="L33" s="19"/>
      <c r="M33" s="19"/>
      <c r="N33" s="19"/>
      <c r="O33" s="19"/>
    </row>
    <row r="34" spans="1:15" x14ac:dyDescent="0.2">
      <c r="A34" s="132"/>
      <c r="B34" s="132"/>
      <c r="C34" s="132"/>
      <c r="D34" s="132"/>
      <c r="E34" s="132"/>
      <c r="F34" s="19"/>
      <c r="G34" s="19"/>
      <c r="H34" s="19"/>
      <c r="I34" s="19"/>
      <c r="J34" s="19"/>
      <c r="K34" s="19"/>
      <c r="L34" s="19"/>
      <c r="M34" s="19"/>
      <c r="N34" s="19"/>
      <c r="O34" s="19"/>
    </row>
    <row r="35" spans="1:15" x14ac:dyDescent="0.2">
      <c r="A35" s="132"/>
      <c r="B35" s="132"/>
      <c r="C35" s="132"/>
      <c r="D35" s="132"/>
      <c r="E35" s="132"/>
      <c r="F35" s="19"/>
      <c r="G35" s="19"/>
      <c r="H35" s="19"/>
      <c r="I35" s="19"/>
      <c r="J35" s="19"/>
      <c r="K35" s="19"/>
      <c r="L35" s="19"/>
      <c r="M35" s="19"/>
      <c r="N35" s="19"/>
      <c r="O35" s="19"/>
    </row>
    <row r="36" spans="1:15" x14ac:dyDescent="0.2">
      <c r="A36" s="132"/>
      <c r="B36" s="132"/>
      <c r="C36" s="132"/>
      <c r="D36" s="132"/>
      <c r="E36" s="132"/>
      <c r="F36" s="19"/>
      <c r="G36" s="19"/>
      <c r="H36" s="19"/>
      <c r="I36" s="19"/>
      <c r="J36" s="19"/>
      <c r="K36" s="19"/>
      <c r="L36" s="19"/>
      <c r="M36" s="19"/>
      <c r="N36" s="19"/>
      <c r="O36" s="19"/>
    </row>
    <row r="37" spans="1:15" x14ac:dyDescent="0.2">
      <c r="A37" s="132"/>
      <c r="B37" s="132"/>
      <c r="C37" s="132"/>
      <c r="D37" s="132"/>
      <c r="E37" s="132"/>
      <c r="F37" s="19"/>
      <c r="G37" s="19"/>
      <c r="H37" s="19"/>
      <c r="I37" s="19"/>
      <c r="J37" s="19"/>
      <c r="K37" s="19"/>
      <c r="L37" s="19"/>
      <c r="M37" s="19"/>
      <c r="N37" s="19"/>
      <c r="O37" s="19"/>
    </row>
    <row r="38" spans="1:15" x14ac:dyDescent="0.2">
      <c r="A38" s="108" t="s">
        <v>1044</v>
      </c>
      <c r="B38" s="256"/>
      <c r="C38" s="256"/>
      <c r="D38" s="256"/>
      <c r="E38" s="256"/>
      <c r="F38" s="19"/>
      <c r="G38" s="19"/>
      <c r="H38" s="19"/>
      <c r="I38" s="19"/>
      <c r="J38" s="19"/>
      <c r="K38" s="19"/>
      <c r="L38" s="19"/>
      <c r="M38" s="19"/>
      <c r="N38" s="19"/>
      <c r="O38" s="19"/>
    </row>
    <row r="39" spans="1:15" x14ac:dyDescent="0.2">
      <c r="A39" s="577"/>
      <c r="B39" s="577"/>
      <c r="C39" s="577"/>
      <c r="D39" s="577"/>
      <c r="E39" s="577"/>
      <c r="F39" s="19"/>
      <c r="G39" s="19"/>
      <c r="H39" s="19"/>
      <c r="I39" s="19"/>
      <c r="J39" s="19"/>
      <c r="K39" s="19"/>
      <c r="L39" s="19"/>
      <c r="M39" s="19"/>
      <c r="N39" s="19"/>
      <c r="O39" s="19"/>
    </row>
    <row r="40" spans="1:15" ht="20.25" customHeight="1" x14ac:dyDescent="0.2">
      <c r="A40" s="7"/>
      <c r="F40" s="19"/>
      <c r="G40" s="19"/>
      <c r="H40" s="19"/>
      <c r="I40" s="19"/>
      <c r="J40" s="19"/>
      <c r="K40" s="19"/>
      <c r="L40" s="19"/>
      <c r="M40" s="19"/>
      <c r="N40" s="19"/>
      <c r="O40" s="19"/>
    </row>
    <row r="41" spans="1:15" s="8" customFormat="1" x14ac:dyDescent="0.2">
      <c r="A41" s="133"/>
      <c r="B41" s="133"/>
      <c r="C41" s="133"/>
      <c r="D41" s="134"/>
      <c r="E41" s="134"/>
      <c r="F41" s="329"/>
      <c r="G41" s="18"/>
      <c r="H41" s="18"/>
      <c r="I41" s="18"/>
      <c r="J41" s="18"/>
      <c r="K41" s="18"/>
      <c r="L41" s="18"/>
      <c r="M41" s="18"/>
      <c r="N41" s="18"/>
      <c r="O41" s="18"/>
    </row>
    <row r="42" spans="1:15" x14ac:dyDescent="0.2">
      <c r="A42" s="133"/>
      <c r="B42" s="133"/>
      <c r="C42" s="133"/>
      <c r="D42" s="134"/>
      <c r="E42" s="134"/>
      <c r="F42" s="329"/>
      <c r="G42" s="19"/>
      <c r="H42" s="19"/>
      <c r="I42" s="19"/>
      <c r="J42" s="19"/>
      <c r="K42" s="19"/>
      <c r="L42" s="19"/>
      <c r="M42" s="19"/>
      <c r="N42" s="19"/>
      <c r="O42" s="19"/>
    </row>
    <row r="43" spans="1:15" x14ac:dyDescent="0.2">
      <c r="A43" s="133"/>
      <c r="B43" s="133"/>
      <c r="C43" s="133"/>
      <c r="D43" s="134"/>
      <c r="E43" s="134"/>
      <c r="F43" s="135"/>
    </row>
    <row r="44" spans="1:15" x14ac:dyDescent="0.2">
      <c r="A44" s="133"/>
      <c r="B44" s="133"/>
      <c r="C44" s="133"/>
      <c r="D44" s="134"/>
      <c r="E44" s="134"/>
      <c r="F44" s="135"/>
    </row>
    <row r="45" spans="1:15" x14ac:dyDescent="0.2">
      <c r="A45" s="133"/>
      <c r="B45" s="133"/>
      <c r="C45" s="133"/>
      <c r="D45" s="134"/>
      <c r="E45" s="134"/>
      <c r="F45" s="135"/>
    </row>
    <row r="46" spans="1:15" x14ac:dyDescent="0.2">
      <c r="A46" s="133"/>
      <c r="B46" s="133"/>
      <c r="C46" s="133"/>
      <c r="D46" s="134"/>
      <c r="E46" s="134"/>
      <c r="F46" s="135"/>
    </row>
    <row r="47" spans="1:15" x14ac:dyDescent="0.2">
      <c r="A47" s="133"/>
      <c r="B47" s="133"/>
      <c r="C47" s="133"/>
      <c r="D47" s="134"/>
      <c r="E47" s="134"/>
      <c r="F47" s="135"/>
    </row>
    <row r="49" spans="1:5" x14ac:dyDescent="0.2">
      <c r="A49" s="6"/>
      <c r="B49" s="6"/>
      <c r="C49" s="6"/>
      <c r="D49" s="6"/>
      <c r="E49" s="6"/>
    </row>
    <row r="51" spans="1:5" x14ac:dyDescent="0.2">
      <c r="B51" s="7"/>
      <c r="C51" s="7"/>
      <c r="D51" s="21"/>
      <c r="E51" s="21"/>
    </row>
    <row r="54" spans="1:5" x14ac:dyDescent="0.2">
      <c r="A54" s="22"/>
      <c r="B54" s="23"/>
      <c r="C54" s="17"/>
      <c r="D54" s="17"/>
      <c r="E54" s="17"/>
    </row>
    <row r="55" spans="1:5" x14ac:dyDescent="0.2">
      <c r="A55" s="20"/>
      <c r="B55" s="4"/>
      <c r="C55" s="3"/>
    </row>
  </sheetData>
  <customSheetViews>
    <customSheetView guid="{16158AC0-BDC0-11D7-BABA-AD30328A5118}" showPageBreaks="1" showGridLines="0" printArea="1" showRuler="0">
      <selection activeCell="D25" sqref="D25"/>
      <pageMargins left="0.23622047244094491" right="0.23622047244094491" top="0.51181102362204722" bottom="0.51181102362204722" header="0.51181102362204722" footer="0.51181102362204722"/>
      <printOptions horizontalCentered="1"/>
      <pageSetup paperSize="9" orientation="portrait" verticalDpi="0" r:id="rId1"/>
      <headerFooter alignWithMargins="0"/>
    </customSheetView>
    <customSheetView guid="{2F1C2500-C7E9-11D7-BAB9-00065B3658C6}" showGridLines="0" showRuler="0">
      <selection activeCell="D25" sqref="D25"/>
      <pageMargins left="0.23622047244094491" right="0.23622047244094491" top="0.51181102362204722" bottom="0.51181102362204722" header="0.51181102362204722" footer="0.51181102362204722"/>
      <printOptions horizontalCentered="1"/>
      <pageSetup paperSize="9" orientation="portrait" verticalDpi="0" r:id="rId2"/>
      <headerFooter alignWithMargins="0"/>
    </customSheetView>
  </customSheetViews>
  <phoneticPr fontId="16" type="noConversion"/>
  <printOptions horizontalCentered="1"/>
  <pageMargins left="0.70866141732283472" right="0.70866141732283472" top="0.74803149606299213" bottom="0.74803149606299213" header="0.31496062992125984" footer="0.31496062992125984"/>
  <pageSetup paperSize="9" scale="89" orientation="portrait" r:id="rId3"/>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58"/>
  <sheetViews>
    <sheetView showGridLines="0" view="pageBreakPreview" topLeftCell="A4" zoomScale="85" zoomScaleNormal="100" zoomScaleSheetLayoutView="85" workbookViewId="0">
      <selection activeCell="C13" sqref="C13"/>
    </sheetView>
  </sheetViews>
  <sheetFormatPr defaultColWidth="8.85546875" defaultRowHeight="12.75" x14ac:dyDescent="0.2"/>
  <cols>
    <col min="1" max="1" width="41.28515625" customWidth="1"/>
    <col min="2" max="2" width="8.7109375" style="4" customWidth="1"/>
    <col min="3" max="3" width="12.5703125" style="3" customWidth="1"/>
    <col min="4" max="5" width="12.7109375" style="3" customWidth="1"/>
    <col min="6" max="6" width="10.5703125" bestFit="1" customWidth="1"/>
  </cols>
  <sheetData>
    <row r="1" spans="1:6" s="82" customFormat="1" ht="18" x14ac:dyDescent="0.25">
      <c r="A1" s="82" t="str">
        <f>+Data!B6</f>
        <v>Blind and Low Vision Education Network NZ</v>
      </c>
      <c r="B1" s="83"/>
      <c r="C1" s="84"/>
      <c r="D1" s="84"/>
      <c r="E1" s="84"/>
    </row>
    <row r="2" spans="1:6" ht="23.25" x14ac:dyDescent="0.35">
      <c r="A2" s="14" t="s">
        <v>1038</v>
      </c>
      <c r="E2" s="136"/>
    </row>
    <row r="3" spans="1:6" s="13" customFormat="1" ht="18" x14ac:dyDescent="0.2">
      <c r="A3" s="13" t="s">
        <v>1309</v>
      </c>
    </row>
    <row r="4" spans="1:6" s="7" customFormat="1" ht="15" x14ac:dyDescent="0.25">
      <c r="A4" s="312"/>
      <c r="B4" s="313"/>
      <c r="C4" s="278"/>
      <c r="D4" s="278"/>
      <c r="E4" s="278"/>
    </row>
    <row r="5" spans="1:6" s="24" customFormat="1" ht="15" x14ac:dyDescent="0.25">
      <c r="A5" s="295"/>
      <c r="B5" s="296"/>
      <c r="C5" s="297">
        <v>2017</v>
      </c>
      <c r="D5" s="297">
        <v>2017</v>
      </c>
      <c r="E5" s="297">
        <v>2016</v>
      </c>
    </row>
    <row r="6" spans="1:6" s="24" customFormat="1" ht="15" x14ac:dyDescent="0.25">
      <c r="A6" s="295"/>
      <c r="B6" s="298" t="s">
        <v>818</v>
      </c>
      <c r="C6" s="301" t="s">
        <v>814</v>
      </c>
      <c r="D6" s="300" t="s">
        <v>815</v>
      </c>
      <c r="E6" s="300" t="s">
        <v>814</v>
      </c>
    </row>
    <row r="7" spans="1:6" s="24" customFormat="1" ht="24" customHeight="1" x14ac:dyDescent="0.25">
      <c r="A7" s="295"/>
      <c r="B7" s="298"/>
      <c r="C7" s="301"/>
      <c r="D7" s="364" t="s">
        <v>369</v>
      </c>
      <c r="E7" s="300"/>
    </row>
    <row r="8" spans="1:6" s="24" customFormat="1" ht="15" x14ac:dyDescent="0.25">
      <c r="A8" s="295"/>
      <c r="B8" s="298"/>
      <c r="C8" s="301" t="s">
        <v>813</v>
      </c>
      <c r="D8" s="300" t="s">
        <v>813</v>
      </c>
      <c r="E8" s="300" t="s">
        <v>813</v>
      </c>
    </row>
    <row r="9" spans="1:6" ht="14.25" x14ac:dyDescent="0.2">
      <c r="A9" s="295"/>
      <c r="B9" s="313"/>
      <c r="C9" s="274"/>
      <c r="D9" s="275"/>
      <c r="E9" s="274"/>
    </row>
    <row r="10" spans="1:6" ht="15" x14ac:dyDescent="0.25">
      <c r="A10" s="312" t="s">
        <v>834</v>
      </c>
      <c r="B10" s="313"/>
      <c r="C10" s="274"/>
      <c r="D10" s="275"/>
      <c r="E10" s="274"/>
    </row>
    <row r="11" spans="1:6" ht="14.25" x14ac:dyDescent="0.2">
      <c r="A11" s="295" t="s">
        <v>855</v>
      </c>
      <c r="B11" s="313">
        <f>Notes!A171</f>
        <v>12</v>
      </c>
      <c r="C11" s="173">
        <f>+Notes!F180</f>
        <v>2723519.94</v>
      </c>
      <c r="D11" s="263">
        <f>+Notes!G180</f>
        <v>2154353</v>
      </c>
      <c r="E11" s="261">
        <f>+Notes!H180</f>
        <v>601775</v>
      </c>
    </row>
    <row r="12" spans="1:6" ht="14.25" x14ac:dyDescent="0.2">
      <c r="A12" s="295" t="s">
        <v>860</v>
      </c>
      <c r="B12" s="313">
        <f>Notes!A186</f>
        <v>13</v>
      </c>
      <c r="C12" s="173">
        <f>+Notes!F200</f>
        <v>983285.67999999993</v>
      </c>
      <c r="D12" s="173">
        <f>+Notes!G200</f>
        <v>1105201</v>
      </c>
      <c r="E12" s="261">
        <f>+Notes!H196</f>
        <v>949193.61</v>
      </c>
      <c r="F12" s="524"/>
    </row>
    <row r="13" spans="1:6" ht="14.25" x14ac:dyDescent="0.2">
      <c r="A13" s="295" t="s">
        <v>382</v>
      </c>
      <c r="B13" s="313"/>
      <c r="C13" s="173">
        <f>+'Codes allocation'!D954</f>
        <v>43305.47</v>
      </c>
      <c r="D13" s="263">
        <v>75759</v>
      </c>
      <c r="E13" s="261">
        <v>81157</v>
      </c>
    </row>
    <row r="14" spans="1:6" ht="14.25" x14ac:dyDescent="0.2">
      <c r="A14" s="252" t="s">
        <v>822</v>
      </c>
      <c r="B14" s="313"/>
      <c r="C14" s="173">
        <f>+'Codes allocation'!C956</f>
        <v>80261.960000000006</v>
      </c>
      <c r="D14" s="263">
        <v>63485</v>
      </c>
      <c r="E14" s="261">
        <v>75226</v>
      </c>
      <c r="F14" s="331"/>
    </row>
    <row r="15" spans="1:6" ht="14.25" x14ac:dyDescent="0.2">
      <c r="A15" s="295" t="s">
        <v>823</v>
      </c>
      <c r="B15" s="313">
        <v>14</v>
      </c>
      <c r="C15" s="173">
        <f>+'Codes allocation'!C958</f>
        <v>3142.81</v>
      </c>
      <c r="D15" s="263">
        <v>3727</v>
      </c>
      <c r="E15" s="261">
        <v>3535</v>
      </c>
      <c r="F15" s="331"/>
    </row>
    <row r="16" spans="1:6" ht="14.25" x14ac:dyDescent="0.2">
      <c r="A16" s="295" t="s">
        <v>1024</v>
      </c>
      <c r="B16" s="313">
        <f>Notes!A212</f>
        <v>15</v>
      </c>
      <c r="C16" s="174">
        <f>+Notes!F217</f>
        <v>6101371</v>
      </c>
      <c r="D16" s="276">
        <v>2854693</v>
      </c>
      <c r="E16" s="262">
        <f>+Notes!H217</f>
        <v>6852768</v>
      </c>
    </row>
    <row r="17" spans="1:7" ht="14.25" x14ac:dyDescent="0.2">
      <c r="A17" s="295"/>
      <c r="B17" s="313"/>
      <c r="C17" s="173">
        <f>SUM(C11:C16)+1</f>
        <v>9934887.8599999994</v>
      </c>
      <c r="D17" s="263">
        <f>SUM(D11:D16)</f>
        <v>6257218</v>
      </c>
      <c r="E17" s="261">
        <f>SUM(E11:E16)+1</f>
        <v>8563655.6099999994</v>
      </c>
    </row>
    <row r="18" spans="1:7" ht="14.25" x14ac:dyDescent="0.2">
      <c r="A18" s="295"/>
      <c r="B18" s="313"/>
      <c r="C18" s="261"/>
      <c r="D18" s="263"/>
      <c r="E18" s="261"/>
    </row>
    <row r="19" spans="1:7" ht="15" x14ac:dyDescent="0.25">
      <c r="A19" s="312" t="s">
        <v>835</v>
      </c>
      <c r="B19" s="313"/>
      <c r="C19" s="261"/>
      <c r="D19" s="263"/>
      <c r="E19" s="261"/>
    </row>
    <row r="20" spans="1:7" ht="14.25" x14ac:dyDescent="0.2">
      <c r="A20" s="295" t="s">
        <v>859</v>
      </c>
      <c r="B20" s="313">
        <f>Notes!A272</f>
        <v>17</v>
      </c>
      <c r="C20" s="173">
        <f>+Notes!F283</f>
        <v>875633.53</v>
      </c>
      <c r="D20" s="173">
        <f>+Notes!G283</f>
        <v>984716</v>
      </c>
      <c r="E20" s="261">
        <f>+Notes!H283</f>
        <v>782568.61</v>
      </c>
      <c r="G20" s="524"/>
    </row>
    <row r="21" spans="1:7" ht="14.25" x14ac:dyDescent="0.2">
      <c r="A21" s="295" t="s">
        <v>383</v>
      </c>
      <c r="B21" s="313">
        <f>Notes!A296</f>
        <v>18</v>
      </c>
      <c r="C21" s="173">
        <f>+Notes!F303</f>
        <v>30865.93</v>
      </c>
      <c r="D21" s="173">
        <f>+Notes!G303</f>
        <v>62591.55</v>
      </c>
      <c r="E21" s="261">
        <f>+Notes!H303</f>
        <v>25416.449999999997</v>
      </c>
      <c r="G21" s="524"/>
    </row>
    <row r="22" spans="1:7" ht="14.25" x14ac:dyDescent="0.2">
      <c r="A22" s="295" t="s">
        <v>856</v>
      </c>
      <c r="B22" s="313">
        <v>19</v>
      </c>
      <c r="C22" s="283">
        <f>+'Codes allocation'!C983</f>
        <v>0</v>
      </c>
      <c r="D22" s="263">
        <f>+E22</f>
        <v>0</v>
      </c>
      <c r="E22" s="264">
        <v>0</v>
      </c>
    </row>
    <row r="23" spans="1:7" ht="14.25" x14ac:dyDescent="0.2">
      <c r="A23" s="295" t="s">
        <v>1281</v>
      </c>
      <c r="B23" s="313">
        <f>+B35</f>
        <v>20</v>
      </c>
      <c r="C23" s="174">
        <f>+Notes!F330</f>
        <v>37762.78</v>
      </c>
      <c r="D23" s="276">
        <v>0</v>
      </c>
      <c r="E23" s="262">
        <v>33451</v>
      </c>
    </row>
    <row r="24" spans="1:7" ht="15" x14ac:dyDescent="0.25">
      <c r="A24" s="312"/>
      <c r="B24" s="313"/>
      <c r="C24" s="261">
        <f>SUM(C20:C23)</f>
        <v>944262.24000000011</v>
      </c>
      <c r="D24" s="263">
        <f>SUM(D20:D23)</f>
        <v>1047307.55</v>
      </c>
      <c r="E24" s="261">
        <f>SUM(E20:E23)</f>
        <v>841436.05999999994</v>
      </c>
      <c r="F24" s="331"/>
    </row>
    <row r="25" spans="1:7" ht="14.25" x14ac:dyDescent="0.2">
      <c r="A25" s="295"/>
      <c r="B25" s="313"/>
      <c r="C25" s="264"/>
      <c r="D25" s="263"/>
      <c r="E25" s="264"/>
    </row>
    <row r="26" spans="1:7" ht="15" x14ac:dyDescent="0.25">
      <c r="A26" s="312" t="s">
        <v>384</v>
      </c>
      <c r="B26" s="313"/>
      <c r="C26" s="173">
        <f>C17-C24</f>
        <v>8990625.6199999992</v>
      </c>
      <c r="D26" s="263">
        <f>D17-D24</f>
        <v>5209910.45</v>
      </c>
      <c r="E26" s="173">
        <f>E17-E24</f>
        <v>7722219.5499999998</v>
      </c>
    </row>
    <row r="27" spans="1:7" ht="14.25" x14ac:dyDescent="0.2">
      <c r="A27" s="295"/>
      <c r="B27" s="313"/>
      <c r="C27" s="261"/>
      <c r="D27" s="263"/>
      <c r="E27" s="261"/>
    </row>
    <row r="28" spans="1:7" ht="15" x14ac:dyDescent="0.25">
      <c r="A28" s="312" t="s">
        <v>1041</v>
      </c>
      <c r="B28" s="313"/>
      <c r="C28" s="261"/>
      <c r="D28" s="263"/>
      <c r="E28" s="261"/>
    </row>
    <row r="29" spans="1:7" ht="14.25" x14ac:dyDescent="0.2">
      <c r="A29" s="295" t="s">
        <v>63</v>
      </c>
      <c r="B29" s="313"/>
      <c r="C29" s="261">
        <v>0</v>
      </c>
      <c r="D29" s="263">
        <v>0</v>
      </c>
      <c r="E29" s="261">
        <v>0</v>
      </c>
    </row>
    <row r="30" spans="1:7" ht="14.25" x14ac:dyDescent="0.2">
      <c r="A30" s="295" t="s">
        <v>857</v>
      </c>
      <c r="B30" s="313">
        <f>Notes!A226</f>
        <v>16</v>
      </c>
      <c r="C30" s="283">
        <f>+Notes!I247</f>
        <v>2641661</v>
      </c>
      <c r="D30" s="263">
        <v>3198654</v>
      </c>
      <c r="E30" s="264">
        <f>+Notes!I257</f>
        <v>2464308</v>
      </c>
      <c r="F30" s="19"/>
      <c r="G30" s="524"/>
    </row>
    <row r="31" spans="1:7" ht="14.25" x14ac:dyDescent="0.2">
      <c r="A31" s="295" t="s">
        <v>1032</v>
      </c>
      <c r="B31" s="313">
        <v>15</v>
      </c>
      <c r="C31" s="174">
        <v>0</v>
      </c>
      <c r="D31" s="276">
        <v>1118651</v>
      </c>
      <c r="E31" s="262" t="str">
        <f>+Notes!H221</f>
        <v>-</v>
      </c>
    </row>
    <row r="32" spans="1:7" ht="15" x14ac:dyDescent="0.25">
      <c r="A32" s="312"/>
      <c r="B32" s="313"/>
      <c r="C32" s="173">
        <f>SUM(C29:C31)</f>
        <v>2641661</v>
      </c>
      <c r="D32" s="263">
        <f>SUM(D30:D31)</f>
        <v>4317305</v>
      </c>
      <c r="E32" s="261">
        <f>SUM(E29:E31)</f>
        <v>2464308</v>
      </c>
    </row>
    <row r="33" spans="1:5" ht="14.25" x14ac:dyDescent="0.2">
      <c r="A33" s="295"/>
      <c r="B33" s="313"/>
      <c r="C33" s="261"/>
      <c r="D33" s="263"/>
      <c r="E33" s="261"/>
    </row>
    <row r="34" spans="1:5" ht="15" x14ac:dyDescent="0.25">
      <c r="A34" s="312" t="s">
        <v>1042</v>
      </c>
      <c r="B34" s="313"/>
      <c r="C34" s="261"/>
      <c r="D34" s="263"/>
      <c r="E34" s="261"/>
    </row>
    <row r="35" spans="1:5" ht="14.25" x14ac:dyDescent="0.2">
      <c r="A35" s="295" t="s">
        <v>1280</v>
      </c>
      <c r="B35" s="313">
        <f>+Notes!A322</f>
        <v>20</v>
      </c>
      <c r="C35" s="261">
        <f>+Notes!F331</f>
        <v>79943.83</v>
      </c>
      <c r="D35" s="263">
        <v>0</v>
      </c>
      <c r="E35" s="261">
        <v>75081</v>
      </c>
    </row>
    <row r="36" spans="1:5" ht="14.25" x14ac:dyDescent="0.2">
      <c r="A36" s="295" t="s">
        <v>856</v>
      </c>
      <c r="B36" s="313">
        <v>19</v>
      </c>
      <c r="C36" s="174">
        <f>+'Codes allocation'!C985</f>
        <v>121122</v>
      </c>
      <c r="D36" s="276">
        <v>98311</v>
      </c>
      <c r="E36" s="262">
        <f>+Notes!H317</f>
        <v>98311</v>
      </c>
    </row>
    <row r="37" spans="1:5" ht="15" x14ac:dyDescent="0.25">
      <c r="A37" s="312"/>
      <c r="B37" s="313"/>
      <c r="C37" s="173">
        <f>SUM(C35:C36)</f>
        <v>201065.83000000002</v>
      </c>
      <c r="D37" s="263">
        <f>SUM(D36:D36)</f>
        <v>98311</v>
      </c>
      <c r="E37" s="261">
        <f>SUM(E35:E36)</f>
        <v>173392</v>
      </c>
    </row>
    <row r="38" spans="1:5" ht="14.25" x14ac:dyDescent="0.2">
      <c r="A38" s="295"/>
      <c r="B38" s="313"/>
      <c r="C38" s="264"/>
      <c r="D38" s="263"/>
      <c r="E38" s="264"/>
    </row>
    <row r="39" spans="1:5" ht="15.75" thickBot="1" x14ac:dyDescent="0.3">
      <c r="A39" s="312" t="s">
        <v>837</v>
      </c>
      <c r="B39" s="313"/>
      <c r="C39" s="255">
        <f>C26+C32-C37</f>
        <v>11431220.789999999</v>
      </c>
      <c r="D39" s="277">
        <f>D26+D32-D37</f>
        <v>9428904.4499999993</v>
      </c>
      <c r="E39" s="316">
        <f>E26+E32-E37</f>
        <v>10013135.550000001</v>
      </c>
    </row>
    <row r="40" spans="1:5" ht="15" thickTop="1" x14ac:dyDescent="0.2">
      <c r="A40" s="295"/>
      <c r="B40" s="313"/>
      <c r="C40" s="278"/>
      <c r="D40" s="278"/>
      <c r="E40" s="279"/>
    </row>
    <row r="41" spans="1:5" ht="14.25" x14ac:dyDescent="0.2">
      <c r="A41" s="295"/>
      <c r="B41" s="313"/>
      <c r="C41" s="278"/>
      <c r="D41" s="278"/>
      <c r="E41" s="279"/>
    </row>
    <row r="42" spans="1:5" ht="15.75" thickBot="1" x14ac:dyDescent="0.3">
      <c r="A42" s="312" t="s">
        <v>1035</v>
      </c>
      <c r="B42" s="313"/>
      <c r="C42" s="255">
        <f>+Equity!C25</f>
        <v>11431221.400000015</v>
      </c>
      <c r="D42" s="277">
        <f>+Equity!D25</f>
        <v>9428903.7600000054</v>
      </c>
      <c r="E42" s="316">
        <f>+Equity!E25</f>
        <v>10013135.760000005</v>
      </c>
    </row>
    <row r="43" spans="1:5" ht="15" thickTop="1" x14ac:dyDescent="0.2">
      <c r="A43" s="295"/>
      <c r="B43" s="313"/>
      <c r="C43" s="278"/>
      <c r="D43" s="278"/>
      <c r="E43" s="279"/>
    </row>
    <row r="44" spans="1:5" ht="14.25" x14ac:dyDescent="0.2">
      <c r="A44" s="295"/>
      <c r="B44" s="313"/>
      <c r="C44" s="278"/>
      <c r="D44" s="278"/>
      <c r="E44" s="279"/>
    </row>
    <row r="45" spans="1:5" ht="14.25" x14ac:dyDescent="0.2">
      <c r="A45" s="295"/>
      <c r="B45" s="313"/>
      <c r="C45" s="278"/>
      <c r="D45" s="278"/>
      <c r="E45" s="279"/>
    </row>
    <row r="46" spans="1:5" ht="14.25" x14ac:dyDescent="0.2">
      <c r="A46" s="295"/>
      <c r="B46" s="313"/>
      <c r="C46" s="278"/>
      <c r="D46" s="278"/>
      <c r="E46" s="279"/>
    </row>
    <row r="47" spans="1:5" ht="14.25" x14ac:dyDescent="0.2">
      <c r="A47" s="295"/>
      <c r="B47" s="313"/>
      <c r="C47" s="278"/>
      <c r="D47" s="278"/>
      <c r="E47" s="279"/>
    </row>
    <row r="48" spans="1:5" x14ac:dyDescent="0.2">
      <c r="C48" s="30"/>
      <c r="D48" s="30"/>
      <c r="E48" s="30"/>
    </row>
    <row r="49" spans="1:5" x14ac:dyDescent="0.2">
      <c r="A49" s="108" t="s">
        <v>1043</v>
      </c>
      <c r="C49" s="30"/>
      <c r="D49" s="31"/>
      <c r="E49" s="30"/>
    </row>
    <row r="50" spans="1:5" x14ac:dyDescent="0.2">
      <c r="C50" s="68">
        <f>+C39-C42</f>
        <v>-0.6100000161677599</v>
      </c>
      <c r="D50" s="68">
        <f>+D39-D42</f>
        <v>0.68999999389052391</v>
      </c>
      <c r="E50" s="68">
        <f>+E39-E42</f>
        <v>-0.21000000461935997</v>
      </c>
    </row>
    <row r="51" spans="1:5" x14ac:dyDescent="0.2">
      <c r="E51" s="31"/>
    </row>
    <row r="52" spans="1:5" x14ac:dyDescent="0.2">
      <c r="E52" s="31"/>
    </row>
    <row r="53" spans="1:5" x14ac:dyDescent="0.2">
      <c r="E53" s="31"/>
    </row>
    <row r="54" spans="1:5" x14ac:dyDescent="0.2">
      <c r="E54" s="31"/>
    </row>
    <row r="55" spans="1:5" s="7" customFormat="1" x14ac:dyDescent="0.2">
      <c r="B55" s="44"/>
      <c r="C55" s="21"/>
      <c r="D55" s="21"/>
      <c r="E55" s="21"/>
    </row>
    <row r="58" spans="1:5" s="24" customFormat="1" x14ac:dyDescent="0.2">
      <c r="A58" s="57"/>
      <c r="B58" s="57"/>
      <c r="C58" s="57"/>
      <c r="D58" s="57"/>
      <c r="E58" s="17"/>
    </row>
  </sheetData>
  <customSheetViews>
    <customSheetView guid="{16158AC0-BDC0-11D7-BABA-AD30328A5118}" showPageBreaks="1" showGridLines="0" printArea="1" showRuler="0">
      <selection activeCell="F13" sqref="F13"/>
      <pageMargins left="0.74803149606299213" right="0.74803149606299213" top="0.51181102362204722" bottom="0.51181102362204722" header="0.51181102362204722" footer="0.51181102362204722"/>
      <printOptions horizontalCentered="1"/>
      <pageSetup paperSize="9" orientation="portrait" verticalDpi="0" r:id="rId1"/>
      <headerFooter alignWithMargins="0"/>
    </customSheetView>
    <customSheetView guid="{2F1C2500-C7E9-11D7-BAB9-00065B3658C6}" showGridLines="0" showRuler="0">
      <selection activeCell="F13" sqref="F13"/>
      <pageMargins left="0.74803149606299213" right="0.74803149606299213" top="0.51181102362204722" bottom="0.51181102362204722" header="0.51181102362204722" footer="0.51181102362204722"/>
      <printOptions horizontalCentered="1"/>
      <pageSetup paperSize="9" orientation="portrait" verticalDpi="0" r:id="rId2"/>
      <headerFooter alignWithMargins="0"/>
    </customSheetView>
  </customSheetViews>
  <phoneticPr fontId="16" type="noConversion"/>
  <conditionalFormatting sqref="E12:E13 E20:E21 C23:E23 C20:D20">
    <cfRule type="cellIs" dxfId="1" priority="48" stopIfTrue="1" operator="notEqual">
      <formula>#REF!</formula>
    </cfRule>
  </conditionalFormatting>
  <conditionalFormatting sqref="C22:E22">
    <cfRule type="cellIs" dxfId="0" priority="1" stopIfTrue="1" operator="notEqual">
      <formula>#REF!</formula>
    </cfRule>
  </conditionalFormatting>
  <printOptions horizontalCentered="1"/>
  <pageMargins left="0.7" right="0.7" top="0.75" bottom="0.75" header="0.3" footer="0.3"/>
  <pageSetup paperSize="9" orientation="portrait" r:id="rId3"/>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S611"/>
  <sheetViews>
    <sheetView showGridLines="0" view="pageBreakPreview" topLeftCell="A23" zoomScaleNormal="85" zoomScaleSheetLayoutView="100" workbookViewId="0">
      <selection activeCell="K64" sqref="K64"/>
    </sheetView>
  </sheetViews>
  <sheetFormatPr defaultRowHeight="12.75" x14ac:dyDescent="0.2"/>
  <cols>
    <col min="1" max="1" width="3" customWidth="1"/>
    <col min="2" max="2" width="58.7109375" customWidth="1"/>
    <col min="3" max="3" width="8.7109375" customWidth="1"/>
    <col min="4" max="6" width="12.7109375" style="3" customWidth="1"/>
    <col min="7" max="9" width="13.42578125" hidden="1" customWidth="1"/>
    <col min="10" max="10" width="15" hidden="1" customWidth="1"/>
    <col min="11" max="11" width="14.7109375" customWidth="1"/>
    <col min="12" max="17" width="13.42578125" customWidth="1"/>
    <col min="18" max="18" width="9.85546875" bestFit="1" customWidth="1"/>
    <col min="19" max="19" width="13.85546875" bestFit="1" customWidth="1"/>
    <col min="23" max="23" width="9.85546875" bestFit="1" customWidth="1"/>
  </cols>
  <sheetData>
    <row r="1" spans="2:19" s="82" customFormat="1" ht="18" x14ac:dyDescent="0.25">
      <c r="B1" s="366" t="str">
        <f>+Header!A18</f>
        <v>Blind and Low Vision Education Network NZ</v>
      </c>
      <c r="C1" s="366"/>
      <c r="D1" s="83"/>
      <c r="E1" s="84"/>
      <c r="F1" s="84"/>
      <c r="H1" s="302"/>
      <c r="I1" s="418"/>
      <c r="J1" s="189"/>
      <c r="K1" s="189"/>
      <c r="L1" s="189"/>
      <c r="M1" s="419"/>
      <c r="N1" s="419"/>
      <c r="O1" s="419"/>
      <c r="P1" s="419"/>
      <c r="Q1" s="419"/>
    </row>
    <row r="2" spans="2:19" ht="23.25" x14ac:dyDescent="0.35">
      <c r="B2" s="14" t="s">
        <v>1233</v>
      </c>
      <c r="C2" s="14"/>
      <c r="G2" s="367"/>
      <c r="H2" s="302"/>
      <c r="I2" s="8"/>
      <c r="J2" s="8"/>
      <c r="K2" s="192"/>
      <c r="L2" s="192"/>
      <c r="M2" s="8"/>
      <c r="N2" s="8"/>
      <c r="O2" s="8"/>
      <c r="P2" s="8"/>
      <c r="Q2" s="8"/>
    </row>
    <row r="3" spans="2:19" s="13" customFormat="1" ht="18" customHeight="1" x14ac:dyDescent="0.2">
      <c r="B3" s="368" t="s">
        <v>1310</v>
      </c>
      <c r="C3" s="368"/>
    </row>
    <row r="4" spans="2:19" s="13" customFormat="1" ht="12.75" customHeight="1" x14ac:dyDescent="0.2"/>
    <row r="5" spans="2:19" x14ac:dyDescent="0.2">
      <c r="D5" s="369">
        <v>2017</v>
      </c>
      <c r="E5" s="369">
        <v>2017</v>
      </c>
      <c r="F5" s="369">
        <v>2016</v>
      </c>
    </row>
    <row r="6" spans="2:19" ht="25.5" x14ac:dyDescent="0.2">
      <c r="C6" s="87" t="s">
        <v>385</v>
      </c>
      <c r="D6" s="66" t="s">
        <v>814</v>
      </c>
      <c r="E6" s="370" t="s">
        <v>386</v>
      </c>
      <c r="F6" s="370" t="s">
        <v>814</v>
      </c>
      <c r="N6" s="587"/>
      <c r="O6" s="587"/>
      <c r="P6" s="587"/>
      <c r="Q6" s="587"/>
      <c r="R6" s="587"/>
      <c r="S6" s="587"/>
    </row>
    <row r="7" spans="2:19" x14ac:dyDescent="0.2">
      <c r="D7" s="66" t="s">
        <v>813</v>
      </c>
      <c r="E7" s="370" t="s">
        <v>813</v>
      </c>
      <c r="F7" s="370" t="s">
        <v>813</v>
      </c>
      <c r="N7" s="587"/>
      <c r="O7" s="587"/>
      <c r="P7" s="587"/>
      <c r="Q7" s="587"/>
      <c r="R7" s="587"/>
      <c r="S7" s="587"/>
    </row>
    <row r="8" spans="2:19" x14ac:dyDescent="0.2">
      <c r="B8" s="1" t="s">
        <v>387</v>
      </c>
      <c r="C8" s="87"/>
      <c r="E8" s="371"/>
      <c r="F8" s="371"/>
      <c r="G8" s="135"/>
      <c r="J8" t="s">
        <v>1055</v>
      </c>
      <c r="N8" s="587"/>
      <c r="O8" s="587"/>
      <c r="P8" s="587"/>
      <c r="Q8" s="587"/>
      <c r="R8" s="587"/>
      <c r="S8" s="587"/>
    </row>
    <row r="9" spans="2:19" x14ac:dyDescent="0.2">
      <c r="B9" s="359" t="s">
        <v>322</v>
      </c>
      <c r="C9" s="359"/>
      <c r="D9" s="372">
        <f>'Cashflow workpaper'!C18</f>
        <v>7841694.9799999995</v>
      </c>
      <c r="E9" s="376">
        <f>+'Cashflow workpaper'!D18</f>
        <v>7236517</v>
      </c>
      <c r="F9" s="372">
        <v>7141888</v>
      </c>
      <c r="G9" s="135"/>
      <c r="K9" s="373"/>
      <c r="L9" s="47"/>
      <c r="N9" s="587"/>
      <c r="O9" s="587"/>
      <c r="P9" s="587"/>
      <c r="Q9" s="587"/>
      <c r="R9" s="587"/>
      <c r="S9" s="587"/>
    </row>
    <row r="10" spans="2:19" x14ac:dyDescent="0.2">
      <c r="B10" s="359" t="s">
        <v>388</v>
      </c>
      <c r="C10" s="359"/>
      <c r="D10" s="376">
        <f>+'Cashflow workpaper'!C27</f>
        <v>331638.25999999995</v>
      </c>
      <c r="E10" s="376">
        <f>+'Cashflow workpaper'!D27</f>
        <v>231752</v>
      </c>
      <c r="F10" s="372">
        <v>194835.31000000003</v>
      </c>
      <c r="G10" s="135"/>
      <c r="J10" t="s">
        <v>1055</v>
      </c>
      <c r="K10" s="373"/>
      <c r="L10" s="47"/>
      <c r="N10" s="587"/>
      <c r="O10" s="587"/>
      <c r="P10" s="587"/>
      <c r="Q10" s="587"/>
      <c r="R10" s="587"/>
      <c r="S10" s="587"/>
    </row>
    <row r="11" spans="2:19" ht="12.75" customHeight="1" x14ac:dyDescent="0.2">
      <c r="B11" s="374" t="s">
        <v>19</v>
      </c>
      <c r="C11" s="374"/>
      <c r="D11" s="372">
        <v>5272</v>
      </c>
      <c r="E11" s="376">
        <v>-75579</v>
      </c>
      <c r="F11" s="372">
        <v>-5398</v>
      </c>
      <c r="G11" s="135"/>
      <c r="K11" s="373"/>
      <c r="L11" s="47"/>
      <c r="N11" s="587"/>
      <c r="O11" s="587"/>
      <c r="P11" s="587"/>
      <c r="Q11" s="587"/>
      <c r="R11" s="587"/>
      <c r="S11" s="587"/>
    </row>
    <row r="12" spans="2:19" ht="12.75" customHeight="1" x14ac:dyDescent="0.2">
      <c r="B12" s="359" t="s">
        <v>390</v>
      </c>
      <c r="C12" s="25"/>
      <c r="D12" s="465">
        <f>-'Cashflow workpaper'!C85</f>
        <v>-3219965.38</v>
      </c>
      <c r="E12" s="558">
        <f>-'Cashflow workpaper'!D85</f>
        <v>-3813408</v>
      </c>
      <c r="F12" s="465">
        <v>-3255123</v>
      </c>
      <c r="G12" s="135"/>
      <c r="K12" s="373"/>
      <c r="L12" s="47"/>
      <c r="N12" s="587"/>
      <c r="O12" s="587"/>
      <c r="P12" s="587"/>
      <c r="Q12" s="587"/>
      <c r="R12" s="587"/>
      <c r="S12" s="587"/>
    </row>
    <row r="13" spans="2:19" ht="12.75" customHeight="1" x14ac:dyDescent="0.2">
      <c r="B13" s="359" t="s">
        <v>391</v>
      </c>
      <c r="C13" s="25"/>
      <c r="D13" s="465">
        <f>-'Cashflow workpaper'!C75</f>
        <v>-3064753.4199999957</v>
      </c>
      <c r="E13" s="558">
        <f>-'Cashflow workpaper'!D75-180</f>
        <v>-3980972</v>
      </c>
      <c r="F13" s="465">
        <v>-3124328</v>
      </c>
      <c r="G13" s="135"/>
      <c r="K13" s="373"/>
      <c r="L13" s="47"/>
      <c r="N13" s="587"/>
      <c r="O13" s="587"/>
      <c r="P13" s="587"/>
      <c r="Q13" s="587"/>
      <c r="R13" s="587"/>
      <c r="S13" s="587"/>
    </row>
    <row r="14" spans="2:19" ht="12.75" customHeight="1" x14ac:dyDescent="0.2">
      <c r="B14" s="359" t="s">
        <v>392</v>
      </c>
      <c r="C14" s="25"/>
      <c r="D14" s="372">
        <v>-11528</v>
      </c>
      <c r="E14" s="376" t="s">
        <v>832</v>
      </c>
      <c r="F14" s="372" t="s">
        <v>832</v>
      </c>
      <c r="G14" s="135"/>
      <c r="K14" s="373"/>
      <c r="L14" s="47"/>
      <c r="N14" s="587"/>
      <c r="O14" s="587"/>
      <c r="P14" s="587"/>
      <c r="Q14" s="587"/>
      <c r="R14" s="587"/>
      <c r="S14" s="587"/>
    </row>
    <row r="15" spans="2:19" ht="12.75" customHeight="1" x14ac:dyDescent="0.2">
      <c r="B15" s="25" t="s">
        <v>437</v>
      </c>
      <c r="C15" s="25"/>
      <c r="D15" s="376">
        <f>+'Cashflow workpaper'!C33</f>
        <v>262824.69</v>
      </c>
      <c r="E15" s="376">
        <f>+'Cashflow workpaper'!D33</f>
        <v>140000</v>
      </c>
      <c r="F15" s="372">
        <v>222195</v>
      </c>
      <c r="G15" s="135"/>
      <c r="K15" s="373"/>
      <c r="L15" s="47"/>
      <c r="N15" s="587"/>
      <c r="O15" s="587"/>
      <c r="P15" s="587"/>
      <c r="Q15" s="587"/>
      <c r="R15" s="587"/>
      <c r="S15" s="587"/>
    </row>
    <row r="16" spans="2:19" x14ac:dyDescent="0.2">
      <c r="B16" s="375"/>
      <c r="C16" s="375"/>
      <c r="D16" s="376"/>
      <c r="E16" s="376"/>
      <c r="F16" s="376"/>
      <c r="G16" s="135"/>
      <c r="N16" s="587"/>
      <c r="O16" s="587"/>
      <c r="P16" s="587"/>
      <c r="Q16" s="587"/>
      <c r="R16" s="587"/>
      <c r="S16" s="587"/>
    </row>
    <row r="17" spans="2:19" x14ac:dyDescent="0.2">
      <c r="B17" s="377" t="s">
        <v>393</v>
      </c>
      <c r="C17" s="378"/>
      <c r="D17" s="379">
        <f>SUM(D9:D15)</f>
        <v>2145183.1300000036</v>
      </c>
      <c r="E17" s="379">
        <f>SUM(E9:E15)</f>
        <v>-261690</v>
      </c>
      <c r="F17" s="379">
        <f>SUM(F9:F15)+1</f>
        <v>1174070.3099999996</v>
      </c>
      <c r="G17" s="135"/>
      <c r="N17" s="587"/>
      <c r="O17" s="587"/>
      <c r="P17" s="587"/>
      <c r="Q17" s="587"/>
      <c r="R17" s="587"/>
      <c r="S17" s="587"/>
    </row>
    <row r="18" spans="2:19" x14ac:dyDescent="0.2">
      <c r="B18" s="25"/>
      <c r="C18" s="25"/>
      <c r="D18" s="380"/>
      <c r="E18" s="380"/>
      <c r="F18" s="380"/>
      <c r="G18" s="284"/>
      <c r="N18" s="587"/>
      <c r="O18" s="587"/>
      <c r="P18" s="587"/>
      <c r="Q18" s="587"/>
      <c r="R18" s="587"/>
      <c r="S18" s="587"/>
    </row>
    <row r="19" spans="2:19" x14ac:dyDescent="0.2">
      <c r="B19" s="1" t="s">
        <v>2</v>
      </c>
      <c r="C19" s="1"/>
      <c r="D19" s="376"/>
      <c r="E19" s="381"/>
      <c r="F19" s="376"/>
      <c r="G19" s="284"/>
      <c r="N19" s="587"/>
      <c r="O19" s="587"/>
      <c r="P19" s="587"/>
      <c r="Q19" s="587"/>
      <c r="R19" s="587"/>
      <c r="S19" s="587"/>
    </row>
    <row r="20" spans="2:19" ht="12.75" customHeight="1" x14ac:dyDescent="0.2">
      <c r="B20" s="359" t="s">
        <v>3</v>
      </c>
      <c r="C20" s="25"/>
      <c r="D20" s="372">
        <v>0</v>
      </c>
      <c r="E20" s="372">
        <v>0</v>
      </c>
      <c r="F20" s="372">
        <v>0</v>
      </c>
      <c r="H20" s="373"/>
      <c r="I20" s="47"/>
      <c r="N20" s="587"/>
      <c r="O20" s="587"/>
      <c r="P20" s="587"/>
      <c r="Q20" s="587"/>
      <c r="R20" s="587"/>
      <c r="S20" s="587"/>
    </row>
    <row r="21" spans="2:19" x14ac:dyDescent="0.2">
      <c r="B21" s="359" t="s">
        <v>4</v>
      </c>
      <c r="C21" s="25"/>
      <c r="D21" s="372">
        <f>'Cashflow workpaper'!C100+'Cashflow workpaper'!C102+'Cashflow workpaper'!C101</f>
        <v>-542694</v>
      </c>
      <c r="E21" s="376">
        <f>+'Cashflow workpaper'!D100</f>
        <v>-907348</v>
      </c>
      <c r="F21" s="372">
        <v>-468453</v>
      </c>
      <c r="H21" s="373"/>
      <c r="I21" s="47"/>
      <c r="N21" s="587"/>
      <c r="O21" s="587"/>
      <c r="P21" s="587"/>
      <c r="Q21" s="587"/>
      <c r="R21" s="587"/>
      <c r="S21" s="587"/>
    </row>
    <row r="22" spans="2:19" x14ac:dyDescent="0.2">
      <c r="B22" s="359" t="s">
        <v>5</v>
      </c>
      <c r="C22" s="25"/>
      <c r="D22" s="372">
        <f>'Cashflow workpaper'!C103</f>
        <v>751397</v>
      </c>
      <c r="E22" s="372">
        <f>'Cashflow workpaper'!D103</f>
        <v>2721616</v>
      </c>
      <c r="F22" s="372">
        <v>-2879424</v>
      </c>
      <c r="H22" s="373"/>
      <c r="I22" s="47"/>
      <c r="N22" s="587"/>
      <c r="O22" s="587"/>
      <c r="P22" s="587"/>
      <c r="Q22" s="587"/>
      <c r="R22" s="587"/>
      <c r="S22" s="587"/>
    </row>
    <row r="23" spans="2:19" x14ac:dyDescent="0.2">
      <c r="B23" s="374" t="s">
        <v>6</v>
      </c>
      <c r="C23" s="25"/>
      <c r="D23" s="372">
        <v>0</v>
      </c>
      <c r="E23" s="372">
        <v>0</v>
      </c>
      <c r="F23" s="372">
        <v>0</v>
      </c>
      <c r="G23" s="135"/>
      <c r="L23" s="47"/>
      <c r="N23" s="587"/>
      <c r="O23" s="587"/>
      <c r="P23" s="587"/>
      <c r="Q23" s="587"/>
      <c r="R23" s="587"/>
      <c r="S23" s="587"/>
    </row>
    <row r="24" spans="2:19" x14ac:dyDescent="0.2">
      <c r="H24" s="373"/>
      <c r="I24" s="47"/>
      <c r="N24" s="587"/>
      <c r="O24" s="587"/>
      <c r="P24" s="587"/>
      <c r="Q24" s="587"/>
      <c r="R24" s="587"/>
      <c r="S24" s="587"/>
    </row>
    <row r="25" spans="2:19" x14ac:dyDescent="0.2">
      <c r="B25" s="382"/>
      <c r="C25" s="382"/>
      <c r="D25" s="383"/>
      <c r="E25" s="384"/>
      <c r="F25" s="383"/>
      <c r="N25" s="587"/>
      <c r="O25" s="587"/>
      <c r="P25" s="587"/>
      <c r="Q25" s="587"/>
      <c r="R25" s="587"/>
      <c r="S25" s="587"/>
    </row>
    <row r="26" spans="2:19" x14ac:dyDescent="0.2">
      <c r="B26" s="25" t="s">
        <v>7</v>
      </c>
      <c r="C26" s="25"/>
      <c r="D26" s="385">
        <f>SUM(D20:D25)</f>
        <v>208703</v>
      </c>
      <c r="E26" s="385">
        <f>SUM(E20:E25)</f>
        <v>1814268</v>
      </c>
      <c r="F26" s="385">
        <f>SUM(F20:F25)</f>
        <v>-3347877</v>
      </c>
      <c r="N26" s="587"/>
      <c r="O26" s="587"/>
      <c r="P26" s="587"/>
      <c r="Q26" s="587"/>
      <c r="R26" s="587"/>
      <c r="S26" s="587"/>
    </row>
    <row r="27" spans="2:19" x14ac:dyDescent="0.2">
      <c r="D27" s="386"/>
      <c r="E27" s="386"/>
      <c r="F27" s="386"/>
      <c r="N27" s="587"/>
      <c r="O27" s="587"/>
      <c r="P27" s="587"/>
      <c r="Q27" s="587"/>
      <c r="R27" s="587"/>
      <c r="S27" s="587"/>
    </row>
    <row r="28" spans="2:19" x14ac:dyDescent="0.2">
      <c r="B28" s="1" t="s">
        <v>8</v>
      </c>
      <c r="C28" s="1"/>
      <c r="D28" s="376"/>
      <c r="E28" s="381"/>
      <c r="F28" s="376"/>
      <c r="I28" s="387"/>
      <c r="J28" s="387"/>
      <c r="K28" s="387"/>
      <c r="L28" s="387"/>
      <c r="M28" s="387"/>
      <c r="N28" s="387"/>
    </row>
    <row r="29" spans="2:19" x14ac:dyDescent="0.2">
      <c r="B29" s="388" t="s">
        <v>9</v>
      </c>
      <c r="C29" s="388"/>
      <c r="D29" s="372" t="s">
        <v>832</v>
      </c>
      <c r="E29" s="372" t="s">
        <v>832</v>
      </c>
      <c r="F29" s="389">
        <v>63649</v>
      </c>
      <c r="I29" s="387"/>
      <c r="J29" s="387"/>
      <c r="K29" s="387"/>
      <c r="L29" s="387"/>
      <c r="M29" s="387"/>
      <c r="N29" s="387"/>
    </row>
    <row r="30" spans="2:19" x14ac:dyDescent="0.2">
      <c r="B30" s="25" t="s">
        <v>1289</v>
      </c>
      <c r="C30" s="25"/>
      <c r="D30" s="372" t="s">
        <v>832</v>
      </c>
      <c r="E30" s="372" t="s">
        <v>832</v>
      </c>
      <c r="F30" s="390">
        <v>-5000</v>
      </c>
      <c r="G30" s="8"/>
      <c r="H30" s="8"/>
      <c r="I30" s="387"/>
      <c r="J30" s="387"/>
      <c r="K30" s="387"/>
      <c r="L30" s="391"/>
      <c r="M30" s="387"/>
      <c r="N30" s="387"/>
    </row>
    <row r="31" spans="2:19" x14ac:dyDescent="0.2">
      <c r="B31" s="25" t="s">
        <v>11</v>
      </c>
      <c r="C31" s="25"/>
      <c r="D31" s="372" t="s">
        <v>832</v>
      </c>
      <c r="E31" s="372" t="s">
        <v>832</v>
      </c>
      <c r="F31" s="390">
        <f>-'[2]Actual CF Model 2014'!AM202</f>
        <v>0</v>
      </c>
      <c r="G31" s="8"/>
      <c r="H31" s="8"/>
      <c r="I31" s="387"/>
      <c r="J31" s="387"/>
      <c r="K31" s="387"/>
      <c r="L31" s="391"/>
      <c r="M31" s="387"/>
      <c r="N31" s="387"/>
    </row>
    <row r="32" spans="2:19" x14ac:dyDescent="0.2">
      <c r="B32" s="359" t="s">
        <v>12</v>
      </c>
      <c r="C32" s="25"/>
      <c r="D32" s="372" t="s">
        <v>832</v>
      </c>
      <c r="E32" s="372" t="s">
        <v>832</v>
      </c>
      <c r="F32" s="390">
        <f>-'[2]Actual CF Model 2014'!AK202</f>
        <v>0</v>
      </c>
      <c r="G32" s="8"/>
      <c r="H32" s="8"/>
      <c r="I32" s="387"/>
      <c r="J32" s="387"/>
      <c r="K32" s="387"/>
      <c r="L32" s="387"/>
      <c r="M32" s="387"/>
      <c r="N32" s="387"/>
    </row>
    <row r="33" spans="2:14" x14ac:dyDescent="0.2">
      <c r="B33" s="359" t="s">
        <v>10</v>
      </c>
      <c r="C33" s="25"/>
      <c r="D33" s="389">
        <f>'Cashflow workpaper'!C108</f>
        <v>-31691</v>
      </c>
      <c r="E33" s="372" t="s">
        <v>832</v>
      </c>
      <c r="F33" s="390" t="s">
        <v>832</v>
      </c>
      <c r="G33" s="8"/>
      <c r="H33" s="8"/>
      <c r="I33" s="387"/>
      <c r="J33" s="387"/>
      <c r="K33" s="387"/>
      <c r="L33" s="387"/>
      <c r="M33" s="387"/>
      <c r="N33" s="387"/>
    </row>
    <row r="34" spans="2:14" x14ac:dyDescent="0.2">
      <c r="B34" s="25" t="s">
        <v>13</v>
      </c>
      <c r="C34" s="25"/>
      <c r="D34" s="392">
        <f>SUM(D29:D33)</f>
        <v>-31691</v>
      </c>
      <c r="E34" s="393">
        <f>SUM(E29:E33)</f>
        <v>0</v>
      </c>
      <c r="F34" s="393">
        <f>SUM(F29:F33)</f>
        <v>58649</v>
      </c>
      <c r="H34" s="284"/>
      <c r="I34" s="394"/>
      <c r="J34" s="394"/>
      <c r="K34" s="387"/>
      <c r="L34" s="387"/>
      <c r="M34" s="387"/>
      <c r="N34" s="387"/>
    </row>
    <row r="35" spans="2:14" x14ac:dyDescent="0.2">
      <c r="B35" s="25"/>
      <c r="C35" s="25"/>
      <c r="D35" s="380"/>
      <c r="E35" s="381"/>
      <c r="F35" s="380"/>
      <c r="I35" s="387"/>
      <c r="J35" s="387"/>
      <c r="K35" s="387"/>
      <c r="L35" s="387"/>
      <c r="M35" s="387"/>
      <c r="N35" s="387"/>
    </row>
    <row r="36" spans="2:14" x14ac:dyDescent="0.2">
      <c r="B36" s="588" t="s">
        <v>14</v>
      </c>
      <c r="C36" s="395"/>
      <c r="D36" s="590">
        <f>D17+D26+D34</f>
        <v>2322195.1300000036</v>
      </c>
      <c r="E36" s="590">
        <f>E17+E26+E34</f>
        <v>1552578</v>
      </c>
      <c r="F36" s="590">
        <f>F17+F26+F34</f>
        <v>-2115157.6900000004</v>
      </c>
      <c r="G36" s="8"/>
      <c r="H36" s="284"/>
      <c r="I36" s="394"/>
      <c r="J36" s="387"/>
      <c r="K36" s="387"/>
      <c r="L36" s="387"/>
      <c r="M36" s="387"/>
      <c r="N36" s="387"/>
    </row>
    <row r="37" spans="2:14" ht="13.5" thickBot="1" x14ac:dyDescent="0.25">
      <c r="B37" s="589"/>
      <c r="C37" s="396"/>
      <c r="D37" s="591"/>
      <c r="E37" s="591"/>
      <c r="F37" s="591"/>
      <c r="G37" s="486">
        <f>+F36+F40-F43</f>
        <v>1.3099999995902181</v>
      </c>
      <c r="I37" s="387"/>
      <c r="J37" s="387"/>
      <c r="K37" s="387"/>
      <c r="L37" s="387"/>
      <c r="M37" s="387"/>
      <c r="N37" s="387"/>
    </row>
    <row r="38" spans="2:14" ht="13.5" thickTop="1" x14ac:dyDescent="0.2">
      <c r="B38" s="58"/>
      <c r="C38" s="58"/>
      <c r="D38" s="376"/>
      <c r="E38" s="376"/>
      <c r="F38" s="376"/>
      <c r="G38" s="8"/>
      <c r="I38" s="387"/>
      <c r="J38" s="387"/>
      <c r="K38" s="387"/>
      <c r="L38" s="387"/>
      <c r="M38" s="387"/>
      <c r="N38" s="387"/>
    </row>
    <row r="39" spans="2:14" ht="12.75" customHeight="1" x14ac:dyDescent="0.2">
      <c r="B39" s="397"/>
      <c r="C39" s="398"/>
      <c r="D39" s="376"/>
      <c r="E39" s="376"/>
      <c r="F39" s="376"/>
      <c r="H39" s="581" t="s">
        <v>15</v>
      </c>
      <c r="I39" s="582"/>
      <c r="J39" s="583"/>
      <c r="K39" s="387"/>
      <c r="L39" s="387"/>
      <c r="M39" s="387"/>
      <c r="N39" s="387"/>
    </row>
    <row r="40" spans="2:14" x14ac:dyDescent="0.2">
      <c r="B40" s="397" t="s">
        <v>16</v>
      </c>
      <c r="C40" s="399">
        <v>12</v>
      </c>
      <c r="D40" s="380">
        <f>+F43</f>
        <v>601775</v>
      </c>
      <c r="E40" s="400">
        <f>+F43</f>
        <v>601775</v>
      </c>
      <c r="F40" s="557">
        <v>2716934</v>
      </c>
      <c r="H40" s="584"/>
      <c r="I40" s="585"/>
      <c r="J40" s="586"/>
      <c r="K40" s="387"/>
      <c r="L40" s="387"/>
      <c r="M40" s="387"/>
      <c r="N40" s="387"/>
    </row>
    <row r="41" spans="2:14" x14ac:dyDescent="0.2">
      <c r="B41" s="397"/>
      <c r="C41" s="398"/>
      <c r="D41" s="380"/>
      <c r="E41" s="381"/>
      <c r="F41" s="380"/>
      <c r="G41" s="135"/>
      <c r="H41" s="584"/>
      <c r="I41" s="585"/>
      <c r="J41" s="586"/>
      <c r="L41" s="387"/>
      <c r="M41" s="387"/>
      <c r="N41" s="387"/>
    </row>
    <row r="42" spans="2:14" x14ac:dyDescent="0.2">
      <c r="B42" s="588" t="s">
        <v>17</v>
      </c>
      <c r="C42" s="395"/>
      <c r="D42" s="401"/>
      <c r="E42" s="401"/>
      <c r="F42" s="401"/>
      <c r="G42" s="135"/>
      <c r="H42" s="402"/>
      <c r="I42" s="403"/>
      <c r="J42" s="404"/>
      <c r="K42" s="405"/>
      <c r="L42" s="387"/>
      <c r="M42" s="387"/>
      <c r="N42" s="387"/>
    </row>
    <row r="43" spans="2:14" ht="13.5" thickBot="1" x14ac:dyDescent="0.25">
      <c r="B43" s="588"/>
      <c r="C43" s="406">
        <v>12</v>
      </c>
      <c r="D43" s="407">
        <f>+H43</f>
        <v>2723519.94</v>
      </c>
      <c r="E43" s="407">
        <f>+I43</f>
        <v>2154353</v>
      </c>
      <c r="F43" s="407">
        <v>601775</v>
      </c>
      <c r="G43" s="487">
        <f>+D36+D40-D43</f>
        <v>200450.19000000367</v>
      </c>
      <c r="H43" s="408">
        <f>+'Cashflow workpaper'!C119</f>
        <v>2723519.94</v>
      </c>
      <c r="I43" s="409">
        <f>+'Cashflow workpaper'!D119</f>
        <v>2154353</v>
      </c>
      <c r="J43" s="410">
        <f>+'Cashflow workpaper'!E119</f>
        <v>601775</v>
      </c>
      <c r="L43" s="387"/>
      <c r="M43" s="387"/>
      <c r="N43" s="387"/>
    </row>
    <row r="44" spans="2:14" x14ac:dyDescent="0.2">
      <c r="B44" s="1"/>
      <c r="C44" s="1"/>
      <c r="D44" s="411"/>
      <c r="E44" s="411"/>
      <c r="F44" s="411"/>
      <c r="G44" s="135"/>
      <c r="H44" s="412">
        <f>SUM(D43-H43)</f>
        <v>0</v>
      </c>
      <c r="I44" s="413">
        <f>SUM(E43-I43)</f>
        <v>0</v>
      </c>
      <c r="J44" s="414">
        <f>SUM(F43-J43)</f>
        <v>0</v>
      </c>
      <c r="L44" s="387"/>
      <c r="M44" s="387"/>
      <c r="N44" s="387"/>
    </row>
    <row r="45" spans="2:14" x14ac:dyDescent="0.2">
      <c r="B45" s="1"/>
      <c r="C45" s="1"/>
      <c r="L45" s="387"/>
      <c r="M45" s="387"/>
      <c r="N45" s="387"/>
    </row>
    <row r="46" spans="2:14" x14ac:dyDescent="0.2">
      <c r="B46" s="1"/>
      <c r="C46" s="1"/>
    </row>
    <row r="47" spans="2:14" ht="12.75" customHeight="1" x14ac:dyDescent="0.2">
      <c r="B47" s="578" t="s">
        <v>1364</v>
      </c>
      <c r="C47" s="579"/>
      <c r="D47" s="579"/>
      <c r="E47" s="579"/>
      <c r="F47" s="579"/>
      <c r="H47" s="580"/>
      <c r="I47" s="580"/>
      <c r="J47" s="580"/>
      <c r="K47" s="580"/>
    </row>
    <row r="48" spans="2:14" x14ac:dyDescent="0.2">
      <c r="B48" s="579" t="s">
        <v>1365</v>
      </c>
      <c r="C48" s="579"/>
      <c r="D48" s="579"/>
      <c r="E48" s="579"/>
      <c r="F48" s="579"/>
      <c r="H48" s="580"/>
      <c r="I48" s="580"/>
      <c r="J48" s="580"/>
      <c r="K48" s="580"/>
      <c r="L48" s="387"/>
      <c r="M48" s="387"/>
      <c r="N48" s="387"/>
    </row>
    <row r="49" spans="2:14" x14ac:dyDescent="0.2">
      <c r="B49" s="579"/>
      <c r="C49" s="579"/>
      <c r="D49" s="579"/>
      <c r="E49" s="579"/>
      <c r="F49" s="579"/>
      <c r="H49" s="580"/>
      <c r="I49" s="580"/>
      <c r="J49" s="580"/>
      <c r="K49" s="580"/>
      <c r="L49" s="387"/>
      <c r="M49" s="387"/>
      <c r="N49" s="387"/>
    </row>
    <row r="50" spans="2:14" x14ac:dyDescent="0.2">
      <c r="B50" s="1"/>
      <c r="C50" s="1"/>
      <c r="H50" s="580"/>
      <c r="I50" s="580"/>
      <c r="J50" s="580"/>
      <c r="K50" s="580"/>
      <c r="L50" s="387"/>
      <c r="M50" s="387"/>
      <c r="N50" s="387"/>
    </row>
    <row r="51" spans="2:14" x14ac:dyDescent="0.2">
      <c r="B51" s="1"/>
      <c r="C51" s="1"/>
      <c r="H51" s="18"/>
      <c r="I51" s="18"/>
      <c r="J51" s="18"/>
      <c r="K51" s="18"/>
      <c r="L51" s="387"/>
      <c r="M51" s="387"/>
      <c r="N51" s="387"/>
    </row>
    <row r="52" spans="2:14" ht="12.75" customHeight="1" x14ac:dyDescent="0.2">
      <c r="B52" s="1"/>
      <c r="C52" s="1"/>
      <c r="H52" s="580"/>
      <c r="I52" s="580"/>
      <c r="J52" s="580"/>
      <c r="K52" s="580"/>
      <c r="L52" s="387"/>
      <c r="M52" s="387"/>
      <c r="N52" s="387"/>
    </row>
    <row r="53" spans="2:14" x14ac:dyDescent="0.2">
      <c r="B53" s="1"/>
      <c r="C53" s="1"/>
      <c r="E53" s="411"/>
      <c r="F53" s="411"/>
      <c r="H53" s="580"/>
      <c r="I53" s="580"/>
      <c r="J53" s="580"/>
      <c r="K53" s="580"/>
      <c r="L53" s="387"/>
      <c r="M53" s="387"/>
      <c r="N53" s="387"/>
    </row>
    <row r="54" spans="2:14" ht="12.75" customHeight="1" x14ac:dyDescent="0.2">
      <c r="H54" s="580"/>
      <c r="I54" s="580"/>
      <c r="J54" s="580"/>
      <c r="K54" s="580"/>
      <c r="L54" s="387"/>
      <c r="M54" s="387"/>
      <c r="N54" s="387"/>
    </row>
    <row r="55" spans="2:14" ht="27.6" customHeight="1" x14ac:dyDescent="0.2">
      <c r="B55" s="415" t="s">
        <v>18</v>
      </c>
      <c r="C55" s="415"/>
      <c r="H55" s="580"/>
      <c r="I55" s="580"/>
      <c r="J55" s="580"/>
      <c r="K55" s="580"/>
      <c r="L55" s="387"/>
      <c r="M55" s="387"/>
      <c r="N55" s="387"/>
    </row>
    <row r="56" spans="2:14" x14ac:dyDescent="0.2">
      <c r="B56" s="416"/>
      <c r="C56" s="416"/>
      <c r="D56" s="416"/>
      <c r="E56" s="416"/>
      <c r="F56" s="416"/>
      <c r="H56" s="18"/>
      <c r="I56" s="420"/>
      <c r="J56" s="420"/>
      <c r="K56" s="420"/>
      <c r="L56" s="387"/>
      <c r="M56" s="387"/>
      <c r="N56" s="387"/>
    </row>
    <row r="57" spans="2:14" s="25" customFormat="1" ht="21" customHeight="1" x14ac:dyDescent="0.2">
      <c r="D57" s="417"/>
      <c r="E57" s="417"/>
      <c r="F57" s="417"/>
      <c r="I57" s="387"/>
      <c r="J57" s="387"/>
      <c r="K57" s="387"/>
      <c r="L57" s="387"/>
      <c r="M57" s="387"/>
      <c r="N57" s="387"/>
    </row>
    <row r="58" spans="2:14" ht="12.75" customHeight="1" x14ac:dyDescent="0.2">
      <c r="B58" s="25"/>
      <c r="C58" s="25"/>
      <c r="D58" s="417"/>
      <c r="E58" s="417"/>
      <c r="F58" s="417"/>
      <c r="G58" s="25"/>
      <c r="H58" s="25"/>
      <c r="I58" s="387"/>
      <c r="J58" s="387"/>
      <c r="K58" s="387"/>
      <c r="L58" s="387"/>
      <c r="M58" s="387"/>
      <c r="N58" s="387"/>
    </row>
    <row r="59" spans="2:14" ht="14.25" x14ac:dyDescent="0.2">
      <c r="B59" s="25"/>
      <c r="C59" s="25"/>
      <c r="D59" s="417"/>
      <c r="E59" s="417"/>
      <c r="F59" s="417"/>
      <c r="G59" s="25"/>
      <c r="H59" s="25"/>
      <c r="I59" s="387"/>
      <c r="J59" s="387"/>
      <c r="K59" s="387"/>
      <c r="L59" s="387"/>
      <c r="M59" s="387"/>
      <c r="N59" s="387"/>
    </row>
    <row r="506" spans="4:10" x14ac:dyDescent="0.2">
      <c r="D506"/>
      <c r="E506"/>
      <c r="F506"/>
      <c r="I506" s="362"/>
      <c r="J506" s="362"/>
    </row>
    <row r="599" spans="4:10" x14ac:dyDescent="0.2">
      <c r="D599"/>
      <c r="E599"/>
      <c r="F599"/>
      <c r="I599" s="135"/>
      <c r="J599" s="135"/>
    </row>
    <row r="600" spans="4:10" x14ac:dyDescent="0.2">
      <c r="D600"/>
      <c r="E600"/>
      <c r="F600"/>
      <c r="I600" s="135"/>
      <c r="J600" s="135"/>
    </row>
    <row r="601" spans="4:10" x14ac:dyDescent="0.2">
      <c r="D601"/>
      <c r="E601"/>
      <c r="F601"/>
      <c r="I601" s="135"/>
      <c r="J601" s="135"/>
    </row>
    <row r="602" spans="4:10" x14ac:dyDescent="0.2">
      <c r="D602"/>
      <c r="E602"/>
      <c r="F602"/>
      <c r="I602" s="135"/>
      <c r="J602" s="135"/>
    </row>
    <row r="603" spans="4:10" x14ac:dyDescent="0.2">
      <c r="D603"/>
      <c r="E603"/>
      <c r="F603"/>
      <c r="I603" s="135"/>
      <c r="J603" s="135"/>
    </row>
    <row r="604" spans="4:10" x14ac:dyDescent="0.2">
      <c r="D604"/>
      <c r="E604"/>
      <c r="F604"/>
      <c r="I604" s="135"/>
      <c r="J604" s="135"/>
    </row>
    <row r="605" spans="4:10" x14ac:dyDescent="0.2">
      <c r="D605"/>
      <c r="E605"/>
      <c r="F605"/>
      <c r="I605" s="135"/>
      <c r="J605" s="135"/>
    </row>
    <row r="606" spans="4:10" x14ac:dyDescent="0.2">
      <c r="D606"/>
      <c r="E606"/>
      <c r="F606"/>
      <c r="I606" s="135"/>
      <c r="J606" s="135"/>
    </row>
    <row r="607" spans="4:10" x14ac:dyDescent="0.2">
      <c r="D607"/>
      <c r="E607"/>
      <c r="F607"/>
      <c r="I607" s="135"/>
      <c r="J607" s="135"/>
    </row>
    <row r="608" spans="4:10" x14ac:dyDescent="0.2">
      <c r="D608"/>
      <c r="E608"/>
      <c r="F608"/>
      <c r="I608" s="135"/>
      <c r="J608" s="135"/>
    </row>
    <row r="609" spans="4:10" x14ac:dyDescent="0.2">
      <c r="D609"/>
      <c r="E609"/>
      <c r="F609"/>
      <c r="I609" s="135"/>
      <c r="J609" s="135"/>
    </row>
    <row r="610" spans="4:10" x14ac:dyDescent="0.2">
      <c r="D610"/>
      <c r="E610"/>
      <c r="F610"/>
      <c r="I610" s="135"/>
      <c r="J610" s="135"/>
    </row>
    <row r="611" spans="4:10" x14ac:dyDescent="0.2">
      <c r="D611"/>
      <c r="E611"/>
      <c r="F611"/>
      <c r="I611" s="135"/>
      <c r="J611" s="135"/>
    </row>
  </sheetData>
  <phoneticPr fontId="0" type="noConversion"/>
  <pageMargins left="1.0236220472440944" right="0" top="0.74803149606299213" bottom="0.74803149606299213" header="0.31496062992125984" footer="0.31496062992125984"/>
  <pageSetup paperSize="9" scale="84" firstPageNumber="5" orientation="portrait" cellComments="asDisplayed" useFirstPageNumber="1"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2:J349"/>
  <sheetViews>
    <sheetView view="pageBreakPreview" zoomScale="75" zoomScaleNormal="100" zoomScaleSheetLayoutView="75" workbookViewId="0">
      <selection activeCell="C25" sqref="C25"/>
    </sheetView>
  </sheetViews>
  <sheetFormatPr defaultRowHeight="12.75" customHeight="1" x14ac:dyDescent="0.2"/>
  <cols>
    <col min="1" max="1" width="9.140625" style="109"/>
    <col min="2" max="2" width="17.7109375" style="109" customWidth="1"/>
    <col min="3" max="3" width="10.140625" style="109" customWidth="1"/>
    <col min="4" max="4" width="17.28515625" style="109" customWidth="1"/>
    <col min="5" max="5" width="9.140625" style="109"/>
    <col min="6" max="6" width="37.7109375" style="109" customWidth="1"/>
    <col min="7" max="7" width="16.7109375" style="109" customWidth="1"/>
    <col min="8" max="16384" width="9.140625" style="109"/>
  </cols>
  <sheetData>
    <row r="2" spans="1:9" ht="30" customHeight="1" x14ac:dyDescent="0.25">
      <c r="A2" s="82" t="str">
        <f>+Header!A18</f>
        <v>Blind and Low Vision Education Network NZ</v>
      </c>
    </row>
    <row r="3" spans="1:9" ht="33.75" customHeight="1" x14ac:dyDescent="0.35">
      <c r="A3" s="168" t="s">
        <v>1056</v>
      </c>
      <c r="B3" s="166"/>
      <c r="C3" s="166"/>
      <c r="D3" s="166"/>
      <c r="E3" s="166"/>
      <c r="F3" s="166"/>
      <c r="G3" s="166"/>
      <c r="H3" s="166"/>
      <c r="I3" s="166"/>
    </row>
    <row r="4" spans="1:9" ht="18" customHeight="1" x14ac:dyDescent="0.25">
      <c r="A4" s="167"/>
      <c r="B4" s="166"/>
      <c r="C4" s="166"/>
      <c r="D4" s="166"/>
      <c r="E4" s="166"/>
      <c r="F4" s="166"/>
      <c r="G4" s="166"/>
      <c r="H4" s="166"/>
      <c r="I4" s="166"/>
    </row>
    <row r="5" spans="1:9" ht="15.75" customHeight="1" x14ac:dyDescent="0.25">
      <c r="A5" s="142" t="s">
        <v>936</v>
      </c>
      <c r="B5" s="142"/>
      <c r="C5" s="142"/>
      <c r="D5" s="142"/>
      <c r="E5" s="142"/>
      <c r="F5" s="142"/>
      <c r="G5" s="142"/>
      <c r="H5" s="142"/>
      <c r="I5" s="142"/>
    </row>
    <row r="6" spans="1:9" ht="15.75" customHeight="1" x14ac:dyDescent="0.25">
      <c r="A6" s="140" t="s">
        <v>1345</v>
      </c>
      <c r="B6" s="142"/>
      <c r="C6" s="142"/>
      <c r="D6" s="142"/>
      <c r="E6" s="142"/>
      <c r="F6" s="142"/>
      <c r="G6" s="142"/>
      <c r="H6" s="142"/>
      <c r="I6" s="142"/>
    </row>
    <row r="7" spans="1:9" s="137" customFormat="1" ht="14.25" customHeight="1" x14ac:dyDescent="0.25">
      <c r="A7" s="140"/>
      <c r="B7" s="152"/>
      <c r="C7" s="152"/>
      <c r="D7" s="152"/>
      <c r="E7" s="152"/>
      <c r="F7" s="152"/>
      <c r="G7" s="152"/>
      <c r="H7" s="152"/>
      <c r="I7" s="152"/>
    </row>
    <row r="8" spans="1:9" ht="15.75" customHeight="1" x14ac:dyDescent="0.25">
      <c r="A8" s="143" t="s">
        <v>315</v>
      </c>
      <c r="B8" s="140"/>
      <c r="C8" s="140"/>
      <c r="D8" s="140"/>
      <c r="E8" s="140"/>
      <c r="F8" s="140"/>
      <c r="G8" s="140"/>
      <c r="H8" s="140"/>
      <c r="I8" s="140"/>
    </row>
    <row r="9" spans="1:9" s="137" customFormat="1" ht="14.25" customHeight="1" x14ac:dyDescent="0.25">
      <c r="A9" s="141"/>
      <c r="B9" s="140"/>
      <c r="C9" s="140"/>
      <c r="D9" s="140"/>
      <c r="E9" s="140"/>
      <c r="F9" s="140"/>
      <c r="G9" s="140"/>
      <c r="H9" s="140"/>
      <c r="I9" s="140"/>
    </row>
    <row r="10" spans="1:9" s="137" customFormat="1" ht="14.25" customHeight="1" x14ac:dyDescent="0.2">
      <c r="A10" s="594" t="str">
        <f>Header!A18&amp;" (the school) is a Crown entity as specified in the Crown Entities Act 2004 and a school as described in the Education Act 1989. The Board of Trustees (the Board) is of the view that the school is a public benefit entity for financial reporting purposes."</f>
        <v>Blind and Low Vision Education Network NZ (the school) is a Crown entity as specified in the Crown Entities Act 2004 and a school as described in the Education Act 1989. The Board of Trustees (the Board) is of the view that the school is a public benefit entity for financial reporting purposes.</v>
      </c>
      <c r="B10" s="594"/>
      <c r="C10" s="594"/>
      <c r="D10" s="594"/>
      <c r="E10" s="594"/>
      <c r="F10" s="594"/>
      <c r="G10" s="180"/>
      <c r="H10" s="180"/>
      <c r="I10" s="180"/>
    </row>
    <row r="11" spans="1:9" s="137" customFormat="1" ht="14.25" customHeight="1" x14ac:dyDescent="0.2">
      <c r="A11" s="594"/>
      <c r="B11" s="594"/>
      <c r="C11" s="594"/>
      <c r="D11" s="594"/>
      <c r="E11" s="594"/>
      <c r="F11" s="594"/>
      <c r="G11" s="180"/>
      <c r="H11" s="180"/>
      <c r="I11" s="180"/>
    </row>
    <row r="12" spans="1:9" s="137" customFormat="1" ht="14.25" customHeight="1" x14ac:dyDescent="0.2">
      <c r="A12" s="594"/>
      <c r="B12" s="594"/>
      <c r="C12" s="594"/>
      <c r="D12" s="594"/>
      <c r="E12" s="594"/>
      <c r="F12" s="594"/>
      <c r="G12" s="180"/>
      <c r="H12" s="180"/>
      <c r="I12" s="180"/>
    </row>
    <row r="13" spans="1:9" s="137" customFormat="1" ht="14.25" customHeight="1" x14ac:dyDescent="0.2">
      <c r="A13" s="180"/>
      <c r="B13" s="180"/>
      <c r="C13" s="180"/>
      <c r="D13" s="180"/>
      <c r="E13" s="180"/>
      <c r="F13" s="180"/>
      <c r="G13" s="180"/>
      <c r="H13" s="180"/>
      <c r="I13" s="180"/>
    </row>
    <row r="14" spans="1:9" ht="15.75" customHeight="1" x14ac:dyDescent="0.25">
      <c r="A14" s="142" t="s">
        <v>314</v>
      </c>
      <c r="B14" s="142"/>
      <c r="C14" s="142"/>
      <c r="D14" s="142"/>
      <c r="E14" s="142"/>
      <c r="F14" s="142"/>
      <c r="G14" s="142"/>
      <c r="H14" s="142"/>
      <c r="I14" s="142"/>
    </row>
    <row r="15" spans="1:9" s="137" customFormat="1" ht="14.25" customHeight="1" x14ac:dyDescent="0.25">
      <c r="A15" s="140"/>
      <c r="B15" s="140"/>
      <c r="C15" s="140"/>
      <c r="D15" s="140"/>
      <c r="E15" s="140"/>
      <c r="F15" s="140"/>
      <c r="G15" s="140"/>
      <c r="H15" s="140"/>
      <c r="I15" s="140"/>
    </row>
    <row r="16" spans="1:9" s="137" customFormat="1" ht="14.25" customHeight="1" x14ac:dyDescent="0.25">
      <c r="A16" s="148" t="s">
        <v>937</v>
      </c>
      <c r="B16" s="140"/>
      <c r="C16" s="140"/>
      <c r="D16" s="140"/>
      <c r="E16" s="140"/>
      <c r="F16" s="140"/>
      <c r="G16" s="140"/>
      <c r="H16" s="140"/>
      <c r="I16" s="140"/>
    </row>
    <row r="17" spans="1:9" s="137" customFormat="1" ht="14.25" customHeight="1" x14ac:dyDescent="0.25">
      <c r="A17" s="140"/>
      <c r="B17" s="140"/>
      <c r="C17" s="140"/>
      <c r="D17" s="140"/>
      <c r="E17" s="140"/>
      <c r="F17" s="140"/>
      <c r="G17" s="140"/>
      <c r="H17" s="140"/>
      <c r="I17" s="140"/>
    </row>
    <row r="18" spans="1:9" s="137" customFormat="1" ht="15" customHeight="1" x14ac:dyDescent="0.25">
      <c r="A18" s="594" t="s">
        <v>1346</v>
      </c>
      <c r="B18" s="594"/>
      <c r="C18" s="594"/>
      <c r="D18" s="594"/>
      <c r="E18" s="594"/>
      <c r="F18" s="594"/>
      <c r="G18" s="140"/>
      <c r="H18" s="140"/>
      <c r="I18" s="140"/>
    </row>
    <row r="19" spans="1:9" s="137" customFormat="1" ht="14.25" customHeight="1" x14ac:dyDescent="0.25">
      <c r="A19" s="594"/>
      <c r="B19" s="594"/>
      <c r="C19" s="594"/>
      <c r="D19" s="594"/>
      <c r="E19" s="594"/>
      <c r="F19" s="594"/>
      <c r="G19" s="140"/>
      <c r="H19" s="140"/>
      <c r="I19" s="140"/>
    </row>
    <row r="20" spans="1:9" s="137" customFormat="1" ht="14.25" customHeight="1" x14ac:dyDescent="0.25">
      <c r="A20" s="422"/>
      <c r="B20" s="422"/>
      <c r="C20" s="422"/>
      <c r="D20" s="422"/>
      <c r="E20" s="422"/>
      <c r="F20" s="422"/>
      <c r="G20" s="140"/>
      <c r="H20" s="140"/>
      <c r="I20" s="140"/>
    </row>
    <row r="21" spans="1:9" s="137" customFormat="1" ht="14.25" customHeight="1" x14ac:dyDescent="0.25">
      <c r="A21" s="148" t="s">
        <v>938</v>
      </c>
      <c r="B21" s="140"/>
      <c r="C21" s="140"/>
      <c r="D21" s="140"/>
      <c r="E21" s="140"/>
      <c r="F21" s="140"/>
      <c r="G21" s="140"/>
      <c r="H21" s="140"/>
      <c r="I21" s="140"/>
    </row>
    <row r="22" spans="1:9" s="137" customFormat="1" ht="14.25" customHeight="1" x14ac:dyDescent="0.25">
      <c r="A22" s="140"/>
      <c r="B22" s="140"/>
      <c r="C22" s="140"/>
      <c r="D22" s="140"/>
      <c r="E22" s="140"/>
      <c r="F22" s="140"/>
      <c r="G22" s="140"/>
      <c r="H22" s="140"/>
      <c r="I22" s="140"/>
    </row>
    <row r="23" spans="1:9" s="137" customFormat="1" ht="15" customHeight="1" x14ac:dyDescent="0.25">
      <c r="A23" s="594" t="s">
        <v>1192</v>
      </c>
      <c r="B23" s="594"/>
      <c r="C23" s="594"/>
      <c r="D23" s="594"/>
      <c r="E23" s="594"/>
      <c r="F23" s="594"/>
      <c r="G23" s="140"/>
      <c r="H23" s="140"/>
      <c r="I23" s="140"/>
    </row>
    <row r="24" spans="1:9" s="137" customFormat="1" ht="15" x14ac:dyDescent="0.25">
      <c r="A24" s="594"/>
      <c r="B24" s="594"/>
      <c r="C24" s="594"/>
      <c r="D24" s="594"/>
      <c r="E24" s="594"/>
      <c r="F24" s="594"/>
      <c r="G24" s="140"/>
      <c r="H24" s="140"/>
      <c r="I24" s="140"/>
    </row>
    <row r="25" spans="1:9" s="137" customFormat="1" ht="14.25" customHeight="1" x14ac:dyDescent="0.25">
      <c r="A25" s="140"/>
      <c r="B25" s="140"/>
      <c r="C25" s="140"/>
      <c r="D25" s="140"/>
      <c r="E25" s="140"/>
      <c r="F25" s="140"/>
      <c r="G25" s="140"/>
      <c r="H25" s="140"/>
      <c r="I25" s="140"/>
    </row>
    <row r="26" spans="1:9" s="137" customFormat="1" ht="15.75" customHeight="1" x14ac:dyDescent="0.25">
      <c r="A26" s="148" t="s">
        <v>313</v>
      </c>
      <c r="B26" s="140"/>
      <c r="C26" s="140"/>
      <c r="D26" s="140"/>
      <c r="E26" s="140"/>
      <c r="F26" s="140"/>
      <c r="G26" s="140"/>
      <c r="H26" s="140"/>
      <c r="I26" s="140"/>
    </row>
    <row r="27" spans="1:9" s="137" customFormat="1" ht="12.75" customHeight="1" x14ac:dyDescent="0.25">
      <c r="A27" s="148"/>
      <c r="B27" s="140"/>
      <c r="C27" s="140"/>
      <c r="D27" s="140"/>
      <c r="E27" s="140"/>
      <c r="F27" s="140"/>
      <c r="G27" s="140"/>
      <c r="H27" s="140"/>
      <c r="I27" s="140"/>
    </row>
    <row r="28" spans="1:9" s="137" customFormat="1" ht="14.25" customHeight="1" x14ac:dyDescent="0.2">
      <c r="A28" s="594" t="s">
        <v>398</v>
      </c>
      <c r="B28" s="594"/>
      <c r="C28" s="594"/>
      <c r="D28" s="594"/>
      <c r="E28" s="594"/>
      <c r="F28" s="594"/>
      <c r="G28" s="139"/>
      <c r="H28" s="139"/>
      <c r="I28" s="139"/>
    </row>
    <row r="29" spans="1:9" s="137" customFormat="1" ht="14.25" customHeight="1" x14ac:dyDescent="0.2">
      <c r="A29" s="594"/>
      <c r="B29" s="594"/>
      <c r="C29" s="594"/>
      <c r="D29" s="594"/>
      <c r="E29" s="594"/>
      <c r="F29" s="594"/>
      <c r="G29" s="139"/>
      <c r="H29" s="139"/>
      <c r="I29" s="139"/>
    </row>
    <row r="30" spans="1:9" s="137" customFormat="1" ht="14.25" customHeight="1" x14ac:dyDescent="0.2">
      <c r="A30" s="594"/>
      <c r="B30" s="594"/>
      <c r="C30" s="594"/>
      <c r="D30" s="594"/>
      <c r="E30" s="594"/>
      <c r="F30" s="594"/>
      <c r="G30" s="139"/>
      <c r="H30" s="139"/>
      <c r="I30" s="139"/>
    </row>
    <row r="31" spans="1:9" s="137" customFormat="1" ht="14.25" customHeight="1" x14ac:dyDescent="0.2">
      <c r="A31" s="594"/>
      <c r="B31" s="594"/>
      <c r="C31" s="594"/>
      <c r="D31" s="594"/>
      <c r="E31" s="594"/>
      <c r="F31" s="594"/>
      <c r="G31" s="139"/>
      <c r="H31" s="139"/>
      <c r="I31" s="139"/>
    </row>
    <row r="32" spans="1:9" s="137" customFormat="1" ht="14.25" customHeight="1" x14ac:dyDescent="0.2">
      <c r="A32" s="594"/>
      <c r="B32" s="594"/>
      <c r="C32" s="594"/>
      <c r="D32" s="594"/>
      <c r="E32" s="594"/>
      <c r="F32" s="594"/>
      <c r="G32" s="139"/>
      <c r="H32" s="139"/>
      <c r="I32" s="139"/>
    </row>
    <row r="33" spans="1:9" s="137" customFormat="1" ht="14.25" x14ac:dyDescent="0.2">
      <c r="A33" s="594"/>
      <c r="B33" s="594"/>
      <c r="C33" s="594"/>
      <c r="D33" s="594"/>
      <c r="E33" s="594"/>
      <c r="F33" s="594"/>
      <c r="G33" s="139"/>
      <c r="H33" s="139"/>
      <c r="I33" s="139"/>
    </row>
    <row r="34" spans="1:9" s="137" customFormat="1" ht="14.25" x14ac:dyDescent="0.2">
      <c r="A34" s="594"/>
      <c r="B34" s="594"/>
      <c r="C34" s="594"/>
      <c r="D34" s="594"/>
      <c r="E34" s="594"/>
      <c r="F34" s="594"/>
      <c r="G34" s="139"/>
      <c r="H34" s="139"/>
      <c r="I34" s="139"/>
    </row>
    <row r="35" spans="1:9" s="137" customFormat="1" ht="14.25" x14ac:dyDescent="0.2">
      <c r="A35" s="594"/>
      <c r="B35" s="594"/>
      <c r="C35" s="594"/>
      <c r="D35" s="594"/>
      <c r="E35" s="594"/>
      <c r="F35" s="594"/>
      <c r="G35" s="139"/>
      <c r="H35" s="139"/>
      <c r="I35" s="139"/>
    </row>
    <row r="36" spans="1:9" s="137" customFormat="1" ht="14.25" customHeight="1" x14ac:dyDescent="0.2">
      <c r="A36" s="2"/>
      <c r="B36" s="2"/>
      <c r="C36" s="2"/>
      <c r="D36" s="2"/>
      <c r="E36" s="2"/>
      <c r="F36" s="2"/>
      <c r="G36" s="139"/>
      <c r="H36" s="139"/>
      <c r="I36" s="139"/>
    </row>
    <row r="37" spans="1:9" ht="15.75" customHeight="1" x14ac:dyDescent="0.25">
      <c r="A37" s="148" t="s">
        <v>20</v>
      </c>
      <c r="B37" s="142"/>
      <c r="C37" s="142"/>
      <c r="D37" s="142"/>
      <c r="E37" s="142"/>
      <c r="F37" s="142"/>
      <c r="G37" s="142"/>
      <c r="H37" s="142"/>
      <c r="I37" s="142"/>
    </row>
    <row r="38" spans="1:9" s="137" customFormat="1" ht="14.25" customHeight="1" x14ac:dyDescent="0.25">
      <c r="A38" s="154"/>
      <c r="B38" s="140"/>
      <c r="C38" s="140"/>
      <c r="D38" s="140"/>
      <c r="E38" s="140"/>
      <c r="F38" s="140"/>
      <c r="G38" s="140"/>
      <c r="H38" s="140"/>
      <c r="I38" s="140"/>
    </row>
    <row r="39" spans="1:9" s="137" customFormat="1" ht="14.25" customHeight="1" x14ac:dyDescent="0.2">
      <c r="A39" s="599" t="s">
        <v>1234</v>
      </c>
      <c r="B39" s="600"/>
      <c r="C39" s="600"/>
      <c r="D39" s="600"/>
      <c r="E39" s="600"/>
      <c r="F39" s="600"/>
      <c r="G39" s="139"/>
      <c r="H39" s="139"/>
      <c r="I39" s="139"/>
    </row>
    <row r="40" spans="1:9" s="137" customFormat="1" ht="14.25" customHeight="1" x14ac:dyDescent="0.2">
      <c r="A40" s="600"/>
      <c r="B40" s="600"/>
      <c r="C40" s="600"/>
      <c r="D40" s="600"/>
      <c r="E40" s="600"/>
      <c r="F40" s="600"/>
      <c r="G40" s="139"/>
      <c r="H40" s="139"/>
      <c r="I40" s="139"/>
    </row>
    <row r="41" spans="1:9" s="137" customFormat="1" ht="14.25" customHeight="1" x14ac:dyDescent="0.2">
      <c r="A41" s="600"/>
      <c r="B41" s="600"/>
      <c r="C41" s="600"/>
      <c r="D41" s="600"/>
      <c r="E41" s="600"/>
      <c r="F41" s="600"/>
      <c r="G41" s="139"/>
      <c r="H41" s="139"/>
      <c r="I41" s="139"/>
    </row>
    <row r="42" spans="1:9" s="137" customFormat="1" ht="14.25" customHeight="1" x14ac:dyDescent="0.2">
      <c r="A42" s="600"/>
      <c r="B42" s="600"/>
      <c r="C42" s="600"/>
      <c r="D42" s="600"/>
      <c r="E42" s="600"/>
      <c r="F42" s="600"/>
      <c r="G42" s="139"/>
      <c r="H42" s="139"/>
      <c r="I42" s="139"/>
    </row>
    <row r="43" spans="1:9" s="137" customFormat="1" ht="14.25" customHeight="1" x14ac:dyDescent="0.2">
      <c r="A43" s="139"/>
      <c r="B43" s="139"/>
      <c r="C43" s="139"/>
      <c r="D43" s="139"/>
      <c r="E43" s="139"/>
      <c r="F43" s="139"/>
      <c r="G43" s="139"/>
      <c r="H43" s="139"/>
      <c r="I43" s="139"/>
    </row>
    <row r="44" spans="1:9" ht="15.75" customHeight="1" x14ac:dyDescent="0.25">
      <c r="A44" s="148" t="s">
        <v>312</v>
      </c>
      <c r="B44" s="142"/>
      <c r="C44" s="142"/>
      <c r="D44" s="142"/>
      <c r="E44" s="142"/>
      <c r="F44" s="142"/>
      <c r="G44" s="142"/>
      <c r="H44" s="142"/>
      <c r="I44" s="142"/>
    </row>
    <row r="45" spans="1:9" s="137" customFormat="1" ht="14.25" customHeight="1" x14ac:dyDescent="0.25">
      <c r="A45" s="148"/>
      <c r="B45" s="140"/>
      <c r="C45" s="140"/>
      <c r="D45" s="140"/>
      <c r="E45" s="140"/>
      <c r="F45" s="140"/>
      <c r="G45" s="140"/>
      <c r="H45" s="140"/>
      <c r="I45" s="140"/>
    </row>
    <row r="46" spans="1:9" s="137" customFormat="1" ht="14.25" customHeight="1" x14ac:dyDescent="0.2">
      <c r="A46" s="599" t="s">
        <v>311</v>
      </c>
      <c r="B46" s="600"/>
      <c r="C46" s="600"/>
      <c r="D46" s="600"/>
      <c r="E46" s="600"/>
      <c r="F46" s="600"/>
      <c r="G46" s="162"/>
      <c r="H46" s="162"/>
      <c r="I46" s="162"/>
    </row>
    <row r="47" spans="1:9" s="137" customFormat="1" ht="14.25" customHeight="1" x14ac:dyDescent="0.2">
      <c r="A47" s="600"/>
      <c r="B47" s="600"/>
      <c r="C47" s="600"/>
      <c r="D47" s="600"/>
      <c r="E47" s="600"/>
      <c r="F47" s="600"/>
      <c r="G47" s="162"/>
      <c r="H47" s="162"/>
      <c r="I47" s="162"/>
    </row>
    <row r="48" spans="1:9" s="137" customFormat="1" ht="14.25" customHeight="1" x14ac:dyDescent="0.2">
      <c r="A48" s="162"/>
      <c r="B48" s="162"/>
      <c r="C48" s="162"/>
      <c r="D48" s="162"/>
      <c r="E48" s="162"/>
      <c r="F48" s="162"/>
      <c r="G48" s="162"/>
      <c r="H48" s="162"/>
      <c r="I48" s="162"/>
    </row>
    <row r="49" spans="1:9" ht="15.75" customHeight="1" x14ac:dyDescent="0.25">
      <c r="A49" s="148" t="s">
        <v>310</v>
      </c>
      <c r="B49" s="142"/>
      <c r="C49" s="142"/>
      <c r="D49" s="142"/>
      <c r="E49" s="142"/>
      <c r="F49" s="142"/>
      <c r="G49" s="142"/>
      <c r="H49" s="142"/>
      <c r="I49" s="142"/>
    </row>
    <row r="50" spans="1:9" s="137" customFormat="1" ht="14.25" customHeight="1" x14ac:dyDescent="0.25">
      <c r="A50" s="148"/>
      <c r="B50" s="140"/>
      <c r="C50" s="140"/>
      <c r="D50" s="140"/>
      <c r="E50" s="140"/>
      <c r="F50" s="140"/>
      <c r="G50" s="140"/>
      <c r="H50" s="140"/>
      <c r="I50" s="140"/>
    </row>
    <row r="51" spans="1:9" s="137" customFormat="1" ht="14.25" x14ac:dyDescent="0.2">
      <c r="A51" s="594" t="s">
        <v>21</v>
      </c>
      <c r="B51" s="594"/>
      <c r="C51" s="594"/>
      <c r="D51" s="594"/>
      <c r="E51" s="594"/>
      <c r="F51" s="594"/>
      <c r="G51" s="164"/>
      <c r="H51" s="164"/>
      <c r="I51" s="164"/>
    </row>
    <row r="52" spans="1:9" s="137" customFormat="1" ht="14.25" customHeight="1" x14ac:dyDescent="0.25">
      <c r="A52" s="153"/>
      <c r="B52" s="152"/>
      <c r="C52" s="152"/>
      <c r="D52" s="152"/>
      <c r="E52" s="152"/>
      <c r="F52" s="152"/>
      <c r="G52" s="152"/>
      <c r="H52" s="152"/>
      <c r="I52" s="152"/>
    </row>
    <row r="53" spans="1:9" ht="15.75" customHeight="1" x14ac:dyDescent="0.25">
      <c r="A53" s="165" t="s">
        <v>309</v>
      </c>
      <c r="B53" s="142"/>
      <c r="C53" s="142"/>
      <c r="D53" s="142"/>
      <c r="E53" s="142"/>
      <c r="F53" s="142"/>
      <c r="G53" s="142"/>
      <c r="H53" s="142"/>
      <c r="I53" s="142"/>
    </row>
    <row r="54" spans="1:9" ht="15.75" customHeight="1" x14ac:dyDescent="0.25">
      <c r="A54" s="165"/>
      <c r="B54" s="142"/>
      <c r="C54" s="142"/>
      <c r="D54" s="142"/>
      <c r="E54" s="142"/>
      <c r="F54" s="142"/>
      <c r="G54" s="142"/>
      <c r="H54" s="142"/>
      <c r="I54" s="142"/>
    </row>
    <row r="55" spans="1:9" s="137" customFormat="1" ht="14.25" customHeight="1" x14ac:dyDescent="0.2">
      <c r="A55" s="594" t="s">
        <v>939</v>
      </c>
      <c r="B55" s="594"/>
      <c r="C55" s="594"/>
      <c r="D55" s="594"/>
      <c r="E55" s="594"/>
      <c r="F55" s="594"/>
      <c r="G55" s="162"/>
      <c r="H55" s="162"/>
      <c r="I55" s="162"/>
    </row>
    <row r="56" spans="1:9" s="137" customFormat="1" ht="14.25" customHeight="1" x14ac:dyDescent="0.25">
      <c r="A56" s="164"/>
      <c r="B56" s="152"/>
      <c r="C56" s="152"/>
      <c r="D56" s="152"/>
      <c r="E56" s="152"/>
      <c r="F56" s="152"/>
      <c r="G56" s="152"/>
      <c r="H56" s="152"/>
      <c r="I56" s="152"/>
    </row>
    <row r="57" spans="1:9" s="137" customFormat="1" ht="14.25" customHeight="1" x14ac:dyDescent="0.25">
      <c r="A57" s="165" t="s">
        <v>940</v>
      </c>
      <c r="B57" s="152"/>
      <c r="C57" s="152"/>
      <c r="D57" s="152"/>
      <c r="E57" s="152"/>
      <c r="F57" s="152"/>
      <c r="G57" s="152"/>
      <c r="H57" s="152"/>
      <c r="I57" s="152"/>
    </row>
    <row r="58" spans="1:9" s="137" customFormat="1" ht="14.25" customHeight="1" x14ac:dyDescent="0.25">
      <c r="A58" s="165"/>
      <c r="B58" s="152"/>
      <c r="C58" s="152"/>
      <c r="D58" s="152"/>
      <c r="E58" s="152"/>
      <c r="F58" s="152"/>
      <c r="G58" s="152"/>
      <c r="H58" s="152"/>
      <c r="I58" s="152"/>
    </row>
    <row r="59" spans="1:9" s="137" customFormat="1" ht="15" customHeight="1" x14ac:dyDescent="0.25">
      <c r="A59" s="594" t="s">
        <v>1235</v>
      </c>
      <c r="B59" s="594"/>
      <c r="C59" s="594"/>
      <c r="D59" s="594"/>
      <c r="E59" s="594"/>
      <c r="F59" s="594"/>
      <c r="G59" s="152"/>
      <c r="H59" s="152"/>
      <c r="I59" s="152"/>
    </row>
    <row r="60" spans="1:9" s="137" customFormat="1" ht="15" x14ac:dyDescent="0.25">
      <c r="A60" s="594"/>
      <c r="B60" s="594"/>
      <c r="C60" s="594"/>
      <c r="D60" s="594"/>
      <c r="E60" s="594"/>
      <c r="F60" s="594"/>
      <c r="G60" s="152"/>
      <c r="H60" s="152"/>
      <c r="I60" s="152"/>
    </row>
    <row r="61" spans="1:9" s="137" customFormat="1" ht="15" x14ac:dyDescent="0.25">
      <c r="A61" s="594"/>
      <c r="B61" s="594"/>
      <c r="C61" s="594"/>
      <c r="D61" s="594"/>
      <c r="E61" s="594"/>
      <c r="F61" s="594"/>
      <c r="G61" s="152"/>
      <c r="H61" s="152"/>
      <c r="I61" s="152"/>
    </row>
    <row r="62" spans="1:9" s="137" customFormat="1" ht="15" x14ac:dyDescent="0.25">
      <c r="A62" s="594"/>
      <c r="B62" s="594"/>
      <c r="C62" s="594"/>
      <c r="D62" s="594"/>
      <c r="E62" s="594"/>
      <c r="F62" s="594"/>
      <c r="G62" s="152"/>
      <c r="H62" s="152"/>
      <c r="I62" s="152"/>
    </row>
    <row r="63" spans="1:9" s="137" customFormat="1" ht="15" x14ac:dyDescent="0.25">
      <c r="A63" s="594"/>
      <c r="B63" s="594"/>
      <c r="C63" s="594"/>
      <c r="D63" s="594"/>
      <c r="E63" s="594"/>
      <c r="F63" s="594"/>
      <c r="G63" s="152"/>
      <c r="H63" s="152"/>
      <c r="I63" s="152"/>
    </row>
    <row r="64" spans="1:9" s="137" customFormat="1" ht="15" x14ac:dyDescent="0.25">
      <c r="A64" s="594"/>
      <c r="B64" s="594"/>
      <c r="C64" s="594"/>
      <c r="D64" s="594"/>
      <c r="E64" s="594"/>
      <c r="F64" s="594"/>
      <c r="G64" s="152"/>
      <c r="H64" s="152"/>
      <c r="I64" s="152"/>
    </row>
    <row r="65" spans="1:9" s="137" customFormat="1" ht="15" x14ac:dyDescent="0.25">
      <c r="A65" s="490"/>
      <c r="B65" s="490"/>
      <c r="C65" s="490"/>
      <c r="D65" s="490"/>
      <c r="E65" s="490"/>
      <c r="F65" s="490"/>
      <c r="G65" s="152"/>
      <c r="H65" s="152"/>
      <c r="I65" s="152"/>
    </row>
    <row r="66" spans="1:9" s="137" customFormat="1" ht="15" x14ac:dyDescent="0.25">
      <c r="A66" s="493" t="s">
        <v>1236</v>
      </c>
      <c r="B66" s="489"/>
      <c r="C66" s="489"/>
      <c r="D66" s="489"/>
      <c r="E66" s="489"/>
      <c r="F66" s="489"/>
      <c r="G66" s="152"/>
      <c r="H66" s="152"/>
      <c r="I66" s="152"/>
    </row>
    <row r="67" spans="1:9" s="137" customFormat="1" ht="15" customHeight="1" x14ac:dyDescent="0.25">
      <c r="A67" s="594" t="s">
        <v>1357</v>
      </c>
      <c r="B67" s="594"/>
      <c r="C67" s="594"/>
      <c r="D67" s="594"/>
      <c r="E67" s="594"/>
      <c r="F67" s="594"/>
      <c r="G67" s="152"/>
      <c r="H67" s="152"/>
      <c r="I67" s="152"/>
    </row>
    <row r="68" spans="1:9" s="137" customFormat="1" ht="15" x14ac:dyDescent="0.25">
      <c r="A68" s="594"/>
      <c r="B68" s="594"/>
      <c r="C68" s="594"/>
      <c r="D68" s="594"/>
      <c r="E68" s="594"/>
      <c r="F68" s="594"/>
      <c r="G68" s="152"/>
      <c r="H68" s="152"/>
      <c r="I68" s="152"/>
    </row>
    <row r="69" spans="1:9" s="137" customFormat="1" ht="15" x14ac:dyDescent="0.25">
      <c r="A69" s="594"/>
      <c r="B69" s="594"/>
      <c r="C69" s="594"/>
      <c r="D69" s="594"/>
      <c r="E69" s="594"/>
      <c r="F69" s="594"/>
      <c r="G69" s="152"/>
      <c r="H69" s="152"/>
      <c r="I69" s="152"/>
    </row>
    <row r="70" spans="1:9" s="137" customFormat="1" ht="15" x14ac:dyDescent="0.25">
      <c r="A70" s="594"/>
      <c r="B70" s="594"/>
      <c r="C70" s="594"/>
      <c r="D70" s="594"/>
      <c r="E70" s="594"/>
      <c r="F70" s="594"/>
      <c r="G70" s="152"/>
      <c r="H70" s="152"/>
      <c r="I70" s="152"/>
    </row>
    <row r="71" spans="1:9" s="137" customFormat="1" ht="15" x14ac:dyDescent="0.25">
      <c r="A71" s="594"/>
      <c r="B71" s="594"/>
      <c r="C71" s="594"/>
      <c r="D71" s="594"/>
      <c r="E71" s="594"/>
      <c r="F71" s="594"/>
      <c r="G71" s="152"/>
      <c r="H71" s="152"/>
      <c r="I71" s="152"/>
    </row>
    <row r="72" spans="1:9" s="137" customFormat="1" ht="15" x14ac:dyDescent="0.25">
      <c r="A72" s="490"/>
      <c r="B72" s="490"/>
      <c r="C72" s="490"/>
      <c r="D72" s="490"/>
      <c r="E72" s="490"/>
      <c r="F72" s="490"/>
      <c r="G72" s="152"/>
      <c r="H72" s="152"/>
      <c r="I72" s="152"/>
    </row>
    <row r="73" spans="1:9" s="137" customFormat="1" ht="15" x14ac:dyDescent="0.25">
      <c r="A73" s="494" t="s">
        <v>1237</v>
      </c>
      <c r="B73" s="489"/>
      <c r="C73" s="489"/>
      <c r="D73" s="489"/>
      <c r="E73" s="489"/>
      <c r="F73" s="489"/>
      <c r="G73" s="152"/>
      <c r="H73" s="152"/>
      <c r="I73" s="152"/>
    </row>
    <row r="74" spans="1:9" s="137" customFormat="1" ht="15" x14ac:dyDescent="0.25">
      <c r="A74" s="594" t="s">
        <v>1238</v>
      </c>
      <c r="B74" s="594"/>
      <c r="C74" s="594"/>
      <c r="D74" s="594"/>
      <c r="E74" s="594"/>
      <c r="F74" s="594"/>
      <c r="G74" s="152"/>
      <c r="H74" s="152"/>
      <c r="I74" s="152"/>
    </row>
    <row r="75" spans="1:9" s="137" customFormat="1" ht="15" x14ac:dyDescent="0.25">
      <c r="A75" s="493"/>
      <c r="B75" s="489"/>
      <c r="C75" s="489"/>
      <c r="D75" s="489"/>
      <c r="E75" s="489"/>
      <c r="F75" s="489"/>
      <c r="G75" s="152"/>
      <c r="H75" s="152"/>
      <c r="I75" s="152"/>
    </row>
    <row r="76" spans="1:9" s="137" customFormat="1" ht="15" x14ac:dyDescent="0.25">
      <c r="A76" s="493" t="s">
        <v>1239</v>
      </c>
      <c r="B76" s="489"/>
      <c r="C76" s="489"/>
      <c r="D76" s="489"/>
      <c r="E76" s="489"/>
      <c r="F76" s="489"/>
      <c r="G76" s="152"/>
      <c r="H76" s="152"/>
      <c r="I76" s="152"/>
    </row>
    <row r="77" spans="1:9" s="137" customFormat="1" ht="15" customHeight="1" x14ac:dyDescent="0.25">
      <c r="A77" s="594" t="s">
        <v>1290</v>
      </c>
      <c r="B77" s="594"/>
      <c r="C77" s="594"/>
      <c r="D77" s="594"/>
      <c r="E77" s="594"/>
      <c r="F77" s="594"/>
      <c r="G77" s="152"/>
      <c r="H77" s="152"/>
      <c r="I77" s="152"/>
    </row>
    <row r="78" spans="1:9" s="137" customFormat="1" ht="15" x14ac:dyDescent="0.25">
      <c r="A78" s="594"/>
      <c r="B78" s="594"/>
      <c r="C78" s="594"/>
      <c r="D78" s="594"/>
      <c r="E78" s="594"/>
      <c r="F78" s="594"/>
      <c r="G78" s="152"/>
      <c r="H78" s="152"/>
      <c r="I78" s="152"/>
    </row>
    <row r="79" spans="1:9" s="137" customFormat="1" ht="15" x14ac:dyDescent="0.25">
      <c r="A79" s="594"/>
      <c r="B79" s="594"/>
      <c r="C79" s="594"/>
      <c r="D79" s="594"/>
      <c r="E79" s="594"/>
      <c r="F79" s="594"/>
      <c r="G79" s="152"/>
      <c r="H79" s="152"/>
      <c r="I79" s="152"/>
    </row>
    <row r="80" spans="1:9" s="137" customFormat="1" ht="15" x14ac:dyDescent="0.25">
      <c r="A80" s="594"/>
      <c r="B80" s="594"/>
      <c r="C80" s="594"/>
      <c r="D80" s="594"/>
      <c r="E80" s="594"/>
      <c r="F80" s="594"/>
      <c r="G80" s="152"/>
      <c r="H80" s="152"/>
      <c r="I80" s="152"/>
    </row>
    <row r="81" spans="1:9" s="137" customFormat="1" ht="15" x14ac:dyDescent="0.25">
      <c r="A81" s="490"/>
      <c r="B81" s="490"/>
      <c r="C81" s="490"/>
      <c r="D81" s="490"/>
      <c r="E81" s="490"/>
      <c r="F81" s="490"/>
      <c r="G81" s="152"/>
      <c r="H81" s="152"/>
      <c r="I81" s="152"/>
    </row>
    <row r="82" spans="1:9" s="137" customFormat="1" ht="15" x14ac:dyDescent="0.25">
      <c r="A82" s="493" t="s">
        <v>1240</v>
      </c>
      <c r="B82" s="489"/>
      <c r="C82" s="489"/>
      <c r="D82" s="489"/>
      <c r="E82" s="489"/>
      <c r="F82" s="489"/>
      <c r="G82" s="152"/>
      <c r="H82" s="152"/>
      <c r="I82" s="152"/>
    </row>
    <row r="83" spans="1:9" s="137" customFormat="1" ht="15" customHeight="1" x14ac:dyDescent="0.25">
      <c r="A83" s="594" t="s">
        <v>1241</v>
      </c>
      <c r="B83" s="594"/>
      <c r="C83" s="594"/>
      <c r="D83" s="594"/>
      <c r="E83" s="594"/>
      <c r="F83" s="594"/>
      <c r="G83" s="152"/>
      <c r="H83" s="152"/>
      <c r="I83" s="152"/>
    </row>
    <row r="84" spans="1:9" s="137" customFormat="1" ht="15" x14ac:dyDescent="0.25">
      <c r="A84" s="594"/>
      <c r="B84" s="594"/>
      <c r="C84" s="594"/>
      <c r="D84" s="594"/>
      <c r="E84" s="594"/>
      <c r="F84" s="594"/>
      <c r="G84" s="152"/>
      <c r="H84" s="152"/>
      <c r="I84" s="152"/>
    </row>
    <row r="85" spans="1:9" s="137" customFormat="1" ht="24" customHeight="1" x14ac:dyDescent="0.25">
      <c r="A85" s="594"/>
      <c r="B85" s="594"/>
      <c r="C85" s="594"/>
      <c r="D85" s="594"/>
      <c r="E85" s="594"/>
      <c r="F85" s="594"/>
      <c r="G85" s="152"/>
      <c r="H85" s="152"/>
      <c r="I85" s="152"/>
    </row>
    <row r="86" spans="1:9" s="137" customFormat="1" ht="15" x14ac:dyDescent="0.25">
      <c r="A86" s="489"/>
      <c r="B86" s="489"/>
      <c r="C86" s="489"/>
      <c r="D86" s="489"/>
      <c r="E86" s="489"/>
      <c r="F86" s="489"/>
      <c r="G86" s="152"/>
      <c r="H86" s="152"/>
      <c r="I86" s="152"/>
    </row>
    <row r="87" spans="1:9" s="137" customFormat="1" ht="14.25" customHeight="1" x14ac:dyDescent="0.25">
      <c r="A87" s="164"/>
      <c r="B87" s="152"/>
      <c r="C87" s="152"/>
      <c r="D87" s="152"/>
      <c r="E87" s="152"/>
      <c r="F87" s="152"/>
      <c r="G87" s="152"/>
      <c r="H87" s="152"/>
      <c r="I87" s="152"/>
    </row>
    <row r="88" spans="1:9" ht="15.75" customHeight="1" x14ac:dyDescent="0.25">
      <c r="A88" s="142" t="s">
        <v>0</v>
      </c>
      <c r="B88" s="142"/>
      <c r="C88" s="142"/>
      <c r="D88" s="142"/>
      <c r="E88" s="142"/>
      <c r="F88" s="142"/>
      <c r="G88" s="142"/>
      <c r="H88" s="142"/>
      <c r="I88" s="142"/>
    </row>
    <row r="89" spans="1:9" s="137" customFormat="1" ht="14.25" customHeight="1" x14ac:dyDescent="0.25">
      <c r="A89" s="140"/>
      <c r="B89" s="152"/>
      <c r="C89" s="152"/>
      <c r="D89" s="152"/>
      <c r="E89" s="152"/>
      <c r="F89" s="152"/>
      <c r="G89" s="152"/>
      <c r="H89" s="152"/>
      <c r="I89" s="152"/>
    </row>
    <row r="90" spans="1:9" ht="15.75" customHeight="1" x14ac:dyDescent="0.25">
      <c r="A90" s="163" t="s">
        <v>941</v>
      </c>
      <c r="B90" s="142"/>
      <c r="C90" s="142"/>
      <c r="D90" s="142"/>
      <c r="E90" s="142"/>
      <c r="F90" s="142"/>
      <c r="G90" s="142"/>
      <c r="H90" s="142"/>
      <c r="I90" s="142"/>
    </row>
    <row r="91" spans="1:9" s="137" customFormat="1" ht="14.25" customHeight="1" x14ac:dyDescent="0.25">
      <c r="A91" s="148"/>
      <c r="B91" s="140"/>
      <c r="C91" s="140"/>
      <c r="D91" s="140"/>
      <c r="E91" s="140"/>
      <c r="F91" s="140"/>
      <c r="G91" s="140"/>
      <c r="H91" s="140"/>
      <c r="I91" s="140"/>
    </row>
    <row r="92" spans="1:9" s="137" customFormat="1" ht="14.25" customHeight="1" x14ac:dyDescent="0.2">
      <c r="A92" s="594" t="s">
        <v>211</v>
      </c>
      <c r="B92" s="594"/>
      <c r="C92" s="594"/>
      <c r="D92" s="594"/>
      <c r="E92" s="594"/>
      <c r="F92" s="594"/>
      <c r="G92" s="139"/>
      <c r="H92" s="139"/>
      <c r="I92" s="139"/>
    </row>
    <row r="93" spans="1:9" s="137" customFormat="1" ht="14.25" x14ac:dyDescent="0.2">
      <c r="A93" s="594"/>
      <c r="B93" s="594"/>
      <c r="C93" s="594"/>
      <c r="D93" s="594"/>
      <c r="E93" s="594"/>
      <c r="F93" s="594"/>
      <c r="G93" s="139"/>
      <c r="H93" s="139"/>
      <c r="I93" s="139"/>
    </row>
    <row r="94" spans="1:9" s="137" customFormat="1" ht="14.25" customHeight="1" x14ac:dyDescent="0.2">
      <c r="A94" s="2"/>
      <c r="B94" s="2"/>
      <c r="C94" s="2"/>
      <c r="D94" s="2"/>
      <c r="E94" s="2"/>
      <c r="F94" s="2"/>
      <c r="G94" s="139"/>
      <c r="H94" s="139"/>
      <c r="I94" s="139"/>
    </row>
    <row r="95" spans="1:9" s="137" customFormat="1" ht="14.25" customHeight="1" x14ac:dyDescent="0.2">
      <c r="A95" s="605" t="s">
        <v>942</v>
      </c>
      <c r="B95" s="605"/>
      <c r="C95" s="605"/>
      <c r="D95" s="605"/>
      <c r="E95" s="605"/>
      <c r="F95" s="605"/>
      <c r="G95" s="162"/>
      <c r="H95" s="162"/>
      <c r="I95" s="162"/>
    </row>
    <row r="96" spans="1:9" s="137" customFormat="1" ht="14.25" x14ac:dyDescent="0.2">
      <c r="A96" s="605"/>
      <c r="B96" s="605"/>
      <c r="C96" s="605"/>
      <c r="D96" s="605"/>
      <c r="E96" s="605"/>
      <c r="F96" s="605"/>
      <c r="G96" s="162"/>
      <c r="H96" s="162"/>
      <c r="I96" s="162"/>
    </row>
    <row r="97" spans="1:9" s="137" customFormat="1" ht="14.25" x14ac:dyDescent="0.2">
      <c r="A97" s="162"/>
      <c r="B97" s="162"/>
      <c r="C97" s="162"/>
      <c r="D97" s="162"/>
      <c r="E97" s="162"/>
      <c r="F97" s="162"/>
      <c r="G97" s="162"/>
      <c r="H97" s="162"/>
      <c r="I97" s="162"/>
    </row>
    <row r="98" spans="1:9" s="137" customFormat="1" ht="14.25" customHeight="1" x14ac:dyDescent="0.2">
      <c r="A98" s="605" t="s">
        <v>212</v>
      </c>
      <c r="B98" s="605"/>
      <c r="C98" s="605"/>
      <c r="D98" s="605"/>
      <c r="E98" s="605"/>
      <c r="F98" s="605"/>
      <c r="G98" s="162"/>
      <c r="H98" s="162"/>
      <c r="I98" s="162"/>
    </row>
    <row r="99" spans="1:9" s="137" customFormat="1" ht="14.25" x14ac:dyDescent="0.2">
      <c r="A99" s="605"/>
      <c r="B99" s="605"/>
      <c r="C99" s="605"/>
      <c r="D99" s="605"/>
      <c r="E99" s="605"/>
      <c r="F99" s="605"/>
      <c r="G99" s="162"/>
      <c r="H99" s="162"/>
      <c r="I99" s="162"/>
    </row>
    <row r="100" spans="1:9" s="137" customFormat="1" ht="14.25" x14ac:dyDescent="0.2">
      <c r="A100" s="605"/>
      <c r="B100" s="605"/>
      <c r="C100" s="605"/>
      <c r="D100" s="605"/>
      <c r="E100" s="605"/>
      <c r="F100" s="605"/>
      <c r="G100" s="162"/>
      <c r="H100" s="162"/>
      <c r="I100" s="162"/>
    </row>
    <row r="101" spans="1:9" s="137" customFormat="1" ht="14.25" customHeight="1" x14ac:dyDescent="0.2">
      <c r="A101" s="162"/>
      <c r="B101" s="162"/>
      <c r="C101" s="162"/>
      <c r="D101" s="162"/>
      <c r="E101" s="162"/>
      <c r="F101" s="162"/>
      <c r="G101" s="162"/>
      <c r="H101" s="162"/>
      <c r="I101" s="162"/>
    </row>
    <row r="102" spans="1:9" s="137" customFormat="1" ht="14.25" customHeight="1" x14ac:dyDescent="0.2">
      <c r="A102" s="594" t="s">
        <v>1358</v>
      </c>
      <c r="B102" s="605"/>
      <c r="C102" s="605"/>
      <c r="D102" s="605"/>
      <c r="E102" s="605"/>
      <c r="F102" s="605"/>
      <c r="G102" s="162"/>
      <c r="H102" s="162"/>
      <c r="I102" s="162"/>
    </row>
    <row r="103" spans="1:9" s="137" customFormat="1" ht="14.25" x14ac:dyDescent="0.2">
      <c r="A103" s="605"/>
      <c r="B103" s="605"/>
      <c r="C103" s="605"/>
      <c r="D103" s="605"/>
      <c r="E103" s="605"/>
      <c r="F103" s="605"/>
      <c r="G103" s="162"/>
      <c r="H103" s="162"/>
      <c r="I103" s="162"/>
    </row>
    <row r="104" spans="1:9" s="137" customFormat="1" ht="14.25" x14ac:dyDescent="0.2">
      <c r="A104" s="605"/>
      <c r="B104" s="605"/>
      <c r="C104" s="605"/>
      <c r="D104" s="605"/>
      <c r="E104" s="605"/>
      <c r="F104" s="605"/>
      <c r="G104" s="162"/>
      <c r="H104" s="162"/>
      <c r="I104" s="162"/>
    </row>
    <row r="105" spans="1:9" s="137" customFormat="1" ht="8.25" customHeight="1" x14ac:dyDescent="0.2">
      <c r="A105" s="605"/>
      <c r="B105" s="605"/>
      <c r="C105" s="605"/>
      <c r="D105" s="605"/>
      <c r="E105" s="605"/>
      <c r="F105" s="605"/>
      <c r="G105" s="162"/>
      <c r="H105" s="162"/>
      <c r="I105" s="162"/>
    </row>
    <row r="106" spans="1:9" s="137" customFormat="1" ht="14.25" customHeight="1" x14ac:dyDescent="0.2">
      <c r="A106" s="162"/>
      <c r="B106" s="162"/>
      <c r="C106" s="162"/>
      <c r="D106" s="162"/>
      <c r="E106" s="162"/>
      <c r="F106" s="162"/>
      <c r="G106" s="162"/>
      <c r="H106" s="162"/>
      <c r="I106" s="162"/>
    </row>
    <row r="107" spans="1:9" s="137" customFormat="1" ht="14.25" customHeight="1" x14ac:dyDescent="0.2">
      <c r="A107" s="163" t="s">
        <v>432</v>
      </c>
      <c r="B107" s="162"/>
      <c r="C107" s="162"/>
      <c r="D107" s="162"/>
      <c r="E107" s="162"/>
      <c r="F107" s="162"/>
      <c r="G107" s="162"/>
      <c r="H107" s="162"/>
      <c r="I107" s="162"/>
    </row>
    <row r="108" spans="1:9" s="137" customFormat="1" ht="14.25" customHeight="1" x14ac:dyDescent="0.2">
      <c r="A108" s="162"/>
      <c r="B108" s="162"/>
      <c r="C108" s="162"/>
      <c r="D108" s="162"/>
      <c r="E108" s="162"/>
      <c r="F108" s="162"/>
      <c r="G108" s="162"/>
      <c r="H108" s="162"/>
      <c r="I108" s="162"/>
    </row>
    <row r="109" spans="1:9" s="137" customFormat="1" ht="14.25" customHeight="1" x14ac:dyDescent="0.2">
      <c r="A109" s="605" t="s">
        <v>943</v>
      </c>
      <c r="B109" s="605"/>
      <c r="C109" s="605"/>
      <c r="D109" s="605"/>
      <c r="E109" s="605"/>
      <c r="F109" s="605"/>
      <c r="G109" s="162"/>
      <c r="H109" s="162"/>
      <c r="I109" s="162"/>
    </row>
    <row r="110" spans="1:9" s="137" customFormat="1" ht="14.25" x14ac:dyDescent="0.2">
      <c r="A110" s="605"/>
      <c r="B110" s="605"/>
      <c r="C110" s="605"/>
      <c r="D110" s="605"/>
      <c r="E110" s="605"/>
      <c r="F110" s="605"/>
      <c r="G110" s="162"/>
      <c r="H110" s="162"/>
      <c r="I110" s="162"/>
    </row>
    <row r="111" spans="1:9" s="137" customFormat="1" ht="14.25" x14ac:dyDescent="0.2">
      <c r="A111" s="605"/>
      <c r="B111" s="605"/>
      <c r="C111" s="605"/>
      <c r="D111" s="605"/>
      <c r="E111" s="605"/>
      <c r="F111" s="605"/>
      <c r="G111" s="162"/>
      <c r="H111" s="162"/>
      <c r="I111" s="162"/>
    </row>
    <row r="112" spans="1:9" s="137" customFormat="1" ht="14.25" x14ac:dyDescent="0.2">
      <c r="A112" s="162"/>
      <c r="B112" s="162"/>
      <c r="C112" s="162"/>
      <c r="D112" s="162"/>
      <c r="E112" s="162"/>
      <c r="F112" s="162"/>
      <c r="G112" s="162"/>
      <c r="H112" s="162"/>
      <c r="I112" s="162"/>
    </row>
    <row r="113" spans="1:9" ht="15.75" customHeight="1" x14ac:dyDescent="0.25">
      <c r="A113" s="163" t="s">
        <v>1359</v>
      </c>
      <c r="B113" s="142"/>
      <c r="C113" s="142"/>
      <c r="D113" s="142"/>
      <c r="E113" s="142"/>
      <c r="F113" s="142"/>
      <c r="G113" s="142"/>
      <c r="H113" s="142"/>
      <c r="I113" s="142"/>
    </row>
    <row r="114" spans="1:9" s="137" customFormat="1" ht="14.25" customHeight="1" x14ac:dyDescent="0.25">
      <c r="A114" s="148"/>
      <c r="B114" s="140"/>
      <c r="C114" s="140"/>
      <c r="D114" s="140"/>
      <c r="E114" s="140"/>
      <c r="F114" s="140"/>
      <c r="G114" s="140"/>
      <c r="H114" s="140"/>
      <c r="I114" s="140"/>
    </row>
    <row r="115" spans="1:9" s="137" customFormat="1" ht="14.25" customHeight="1" x14ac:dyDescent="0.2">
      <c r="A115" s="599" t="s">
        <v>399</v>
      </c>
      <c r="B115" s="600"/>
      <c r="C115" s="600"/>
      <c r="D115" s="600"/>
      <c r="E115" s="600"/>
      <c r="F115" s="600"/>
      <c r="G115" s="162"/>
      <c r="H115" s="162"/>
      <c r="I115" s="162"/>
    </row>
    <row r="116" spans="1:9" s="137" customFormat="1" ht="14.25" customHeight="1" x14ac:dyDescent="0.2">
      <c r="A116" s="600"/>
      <c r="B116" s="600"/>
      <c r="C116" s="600"/>
      <c r="D116" s="600"/>
      <c r="E116" s="600"/>
      <c r="F116" s="600"/>
      <c r="G116" s="162"/>
      <c r="H116" s="162"/>
      <c r="I116" s="162"/>
    </row>
    <row r="117" spans="1:9" s="137" customFormat="1" ht="14.25" customHeight="1" x14ac:dyDescent="0.2">
      <c r="A117" s="162"/>
      <c r="B117" s="162"/>
      <c r="C117" s="162"/>
      <c r="D117" s="162"/>
      <c r="E117" s="162"/>
      <c r="F117" s="162"/>
      <c r="G117" s="162"/>
      <c r="H117" s="162"/>
      <c r="I117" s="162"/>
    </row>
    <row r="118" spans="1:9" ht="15.75" customHeight="1" x14ac:dyDescent="0.25">
      <c r="A118" s="163" t="s">
        <v>1</v>
      </c>
      <c r="B118" s="142"/>
      <c r="C118" s="142"/>
      <c r="D118" s="142"/>
      <c r="E118" s="142"/>
      <c r="F118" s="142"/>
      <c r="G118" s="142"/>
      <c r="H118" s="142"/>
      <c r="I118" s="142"/>
    </row>
    <row r="119" spans="1:9" s="137" customFormat="1" ht="14.25" customHeight="1" x14ac:dyDescent="0.25">
      <c r="A119" s="148"/>
      <c r="B119" s="140"/>
      <c r="C119" s="140"/>
      <c r="D119" s="140"/>
      <c r="E119" s="140"/>
      <c r="F119" s="140"/>
      <c r="G119" s="140"/>
      <c r="H119" s="140"/>
      <c r="I119" s="140"/>
    </row>
    <row r="120" spans="1:9" s="137" customFormat="1" ht="14.25" customHeight="1" x14ac:dyDescent="0.2">
      <c r="A120" s="599" t="s">
        <v>944</v>
      </c>
      <c r="B120" s="600"/>
      <c r="C120" s="600"/>
      <c r="D120" s="600"/>
      <c r="E120" s="600"/>
      <c r="F120" s="600"/>
      <c r="G120" s="181"/>
      <c r="H120" s="181"/>
      <c r="I120" s="181"/>
    </row>
    <row r="121" spans="1:9" s="137" customFormat="1" ht="14.25" customHeight="1" x14ac:dyDescent="0.2">
      <c r="A121" s="600"/>
      <c r="B121" s="600"/>
      <c r="C121" s="600"/>
      <c r="D121" s="600"/>
      <c r="E121" s="600"/>
      <c r="F121" s="600"/>
      <c r="G121" s="181"/>
      <c r="H121" s="181"/>
      <c r="I121" s="181"/>
    </row>
    <row r="122" spans="1:9" s="137" customFormat="1" ht="14.25" customHeight="1" x14ac:dyDescent="0.2">
      <c r="A122" s="162"/>
      <c r="B122" s="162"/>
      <c r="C122" s="162"/>
      <c r="D122" s="162"/>
      <c r="E122" s="162"/>
      <c r="F122" s="162"/>
      <c r="G122" s="162"/>
      <c r="H122" s="162"/>
      <c r="I122" s="162"/>
    </row>
    <row r="123" spans="1:9" ht="15.75" customHeight="1" x14ac:dyDescent="0.25">
      <c r="A123" s="142" t="s">
        <v>331</v>
      </c>
      <c r="B123" s="142"/>
      <c r="C123" s="142"/>
      <c r="D123" s="142"/>
      <c r="E123" s="142"/>
      <c r="F123" s="142"/>
      <c r="G123" s="142"/>
      <c r="H123" s="142"/>
      <c r="I123" s="142"/>
    </row>
    <row r="124" spans="1:9" s="137" customFormat="1" ht="14.25" customHeight="1" x14ac:dyDescent="0.25">
      <c r="A124" s="140"/>
      <c r="B124" s="140"/>
      <c r="C124" s="140"/>
      <c r="D124" s="140"/>
      <c r="E124" s="140"/>
      <c r="F124" s="140"/>
      <c r="G124" s="140"/>
      <c r="H124" s="140"/>
      <c r="I124" s="140"/>
    </row>
    <row r="125" spans="1:9" s="137" customFormat="1" ht="14.25" customHeight="1" x14ac:dyDescent="0.2">
      <c r="A125" s="594" t="s">
        <v>400</v>
      </c>
      <c r="B125" s="594"/>
      <c r="C125" s="594"/>
      <c r="D125" s="594"/>
      <c r="E125" s="594"/>
      <c r="F125" s="594"/>
      <c r="G125" s="162"/>
      <c r="H125" s="162"/>
      <c r="I125" s="162"/>
    </row>
    <row r="126" spans="1:9" s="137" customFormat="1" ht="14.25" customHeight="1" x14ac:dyDescent="0.2">
      <c r="A126" s="594"/>
      <c r="B126" s="594"/>
      <c r="C126" s="594"/>
      <c r="D126" s="594"/>
      <c r="E126" s="594"/>
      <c r="F126" s="594"/>
      <c r="G126" s="162"/>
      <c r="H126" s="162"/>
      <c r="I126" s="162"/>
    </row>
    <row r="127" spans="1:9" s="137" customFormat="1" ht="14.25" customHeight="1" x14ac:dyDescent="0.2">
      <c r="A127" s="594"/>
      <c r="B127" s="594"/>
      <c r="C127" s="594"/>
      <c r="D127" s="594"/>
      <c r="E127" s="594"/>
      <c r="F127" s="594"/>
      <c r="G127" s="162"/>
      <c r="H127" s="162"/>
      <c r="I127" s="162"/>
    </row>
    <row r="128" spans="1:9" s="137" customFormat="1" ht="14.25" customHeight="1" x14ac:dyDescent="0.2">
      <c r="A128" s="594"/>
      <c r="B128" s="594"/>
      <c r="C128" s="594"/>
      <c r="D128" s="594"/>
      <c r="E128" s="594"/>
      <c r="F128" s="594"/>
      <c r="G128" s="162"/>
      <c r="H128" s="162"/>
      <c r="I128" s="162"/>
    </row>
    <row r="129" spans="1:9" s="137" customFormat="1" ht="14.25" customHeight="1" x14ac:dyDescent="0.25">
      <c r="A129" s="594"/>
      <c r="B129" s="594"/>
      <c r="C129" s="594"/>
      <c r="D129" s="594"/>
      <c r="E129" s="594"/>
      <c r="F129" s="594"/>
      <c r="G129" s="138"/>
      <c r="H129" s="138"/>
      <c r="I129" s="138"/>
    </row>
    <row r="130" spans="1:9" s="137" customFormat="1" ht="14.25" customHeight="1" x14ac:dyDescent="0.25">
      <c r="A130" s="2"/>
      <c r="B130" s="2"/>
      <c r="C130" s="2"/>
      <c r="D130" s="2"/>
      <c r="E130" s="2"/>
      <c r="F130" s="2"/>
      <c r="G130" s="138"/>
      <c r="H130" s="138"/>
      <c r="I130" s="138"/>
    </row>
    <row r="131" spans="1:9" ht="15.75" customHeight="1" x14ac:dyDescent="0.25">
      <c r="A131" s="142" t="s">
        <v>330</v>
      </c>
      <c r="B131" s="142"/>
      <c r="C131" s="142"/>
      <c r="D131" s="142"/>
      <c r="E131" s="142"/>
      <c r="F131" s="142"/>
      <c r="G131" s="142"/>
      <c r="H131" s="142"/>
      <c r="I131" s="142"/>
    </row>
    <row r="132" spans="1:9" s="137" customFormat="1" ht="14.25" customHeight="1" x14ac:dyDescent="0.25">
      <c r="A132" s="140"/>
      <c r="B132" s="140"/>
      <c r="C132" s="140"/>
      <c r="D132" s="140"/>
      <c r="E132" s="140"/>
      <c r="F132" s="140"/>
      <c r="G132" s="140"/>
      <c r="H132" s="140"/>
      <c r="I132" s="140"/>
    </row>
    <row r="133" spans="1:9" s="137" customFormat="1" ht="14.25" customHeight="1" x14ac:dyDescent="0.2">
      <c r="A133" s="599" t="s">
        <v>670</v>
      </c>
      <c r="B133" s="600"/>
      <c r="C133" s="600"/>
      <c r="D133" s="600"/>
      <c r="E133" s="600"/>
      <c r="F133" s="600"/>
      <c r="G133" s="162"/>
      <c r="H133" s="162"/>
      <c r="I133" s="162"/>
    </row>
    <row r="134" spans="1:9" s="137" customFormat="1" ht="14.25" customHeight="1" x14ac:dyDescent="0.2">
      <c r="A134" s="600"/>
      <c r="B134" s="600"/>
      <c r="C134" s="600"/>
      <c r="D134" s="600"/>
      <c r="E134" s="600"/>
      <c r="F134" s="600"/>
      <c r="G134" s="162"/>
      <c r="H134" s="162"/>
      <c r="I134" s="162"/>
    </row>
    <row r="135" spans="1:9" s="137" customFormat="1" ht="14.25" customHeight="1" x14ac:dyDescent="0.25">
      <c r="A135" s="153"/>
      <c r="B135" s="152"/>
      <c r="C135" s="152"/>
      <c r="D135" s="152"/>
      <c r="E135" s="152"/>
      <c r="F135" s="152"/>
      <c r="G135" s="152"/>
      <c r="H135" s="152"/>
      <c r="I135" s="152"/>
    </row>
    <row r="136" spans="1:9" ht="15.75" customHeight="1" x14ac:dyDescent="0.25">
      <c r="A136" s="142" t="s">
        <v>329</v>
      </c>
      <c r="B136" s="142"/>
      <c r="C136" s="142"/>
      <c r="D136" s="142"/>
      <c r="E136" s="142"/>
      <c r="F136" s="142"/>
      <c r="G136" s="142"/>
      <c r="H136" s="142"/>
      <c r="I136" s="142"/>
    </row>
    <row r="137" spans="1:9" s="137" customFormat="1" ht="14.25" customHeight="1" x14ac:dyDescent="0.25">
      <c r="A137" s="140"/>
      <c r="B137" s="140"/>
      <c r="C137" s="140"/>
      <c r="D137" s="140"/>
      <c r="E137" s="140"/>
      <c r="F137" s="140"/>
      <c r="G137" s="140"/>
      <c r="H137" s="140"/>
      <c r="I137" s="140"/>
    </row>
    <row r="138" spans="1:9" s="137" customFormat="1" ht="14.25" customHeight="1" x14ac:dyDescent="0.2">
      <c r="A138" s="594" t="s">
        <v>328</v>
      </c>
      <c r="B138" s="594"/>
      <c r="C138" s="594"/>
      <c r="D138" s="594"/>
      <c r="E138" s="594"/>
      <c r="F138" s="594"/>
      <c r="G138" s="139"/>
      <c r="H138" s="139"/>
      <c r="I138" s="139"/>
    </row>
    <row r="139" spans="1:9" s="137" customFormat="1" ht="14.25" customHeight="1" x14ac:dyDescent="0.2">
      <c r="A139" s="594"/>
      <c r="B139" s="594"/>
      <c r="C139" s="594"/>
      <c r="D139" s="594"/>
      <c r="E139" s="594"/>
      <c r="F139" s="594"/>
      <c r="G139" s="139"/>
      <c r="H139" s="139"/>
      <c r="I139" s="139"/>
    </row>
    <row r="140" spans="1:9" s="137" customFormat="1" ht="14.25" customHeight="1" x14ac:dyDescent="0.2">
      <c r="A140" s="2"/>
      <c r="B140" s="2"/>
      <c r="C140" s="2"/>
      <c r="D140" s="2"/>
      <c r="E140" s="2"/>
      <c r="F140" s="2"/>
      <c r="G140" s="139"/>
      <c r="H140" s="139"/>
      <c r="I140" s="139"/>
    </row>
    <row r="141" spans="1:9" ht="15.75" customHeight="1" x14ac:dyDescent="0.25">
      <c r="A141" s="142" t="s">
        <v>327</v>
      </c>
      <c r="B141" s="142"/>
      <c r="C141" s="142"/>
      <c r="D141" s="142"/>
      <c r="E141" s="142"/>
      <c r="F141" s="142"/>
      <c r="G141" s="142"/>
      <c r="H141" s="142"/>
      <c r="I141" s="142"/>
    </row>
    <row r="142" spans="1:9" s="137" customFormat="1" ht="14.25" customHeight="1" x14ac:dyDescent="0.25">
      <c r="A142" s="140"/>
      <c r="B142" s="140"/>
      <c r="C142" s="140"/>
      <c r="D142" s="140"/>
      <c r="E142" s="140"/>
      <c r="F142" s="140"/>
      <c r="G142" s="140"/>
      <c r="H142" s="140"/>
      <c r="I142" s="140"/>
    </row>
    <row r="143" spans="1:9" s="137" customFormat="1" ht="14.25" customHeight="1" x14ac:dyDescent="0.25">
      <c r="A143" s="594" t="s">
        <v>1242</v>
      </c>
      <c r="B143" s="594"/>
      <c r="C143" s="594"/>
      <c r="D143" s="594"/>
      <c r="E143" s="594"/>
      <c r="F143" s="594"/>
      <c r="G143" s="138"/>
      <c r="H143" s="138"/>
      <c r="I143" s="138"/>
    </row>
    <row r="144" spans="1:9" s="137" customFormat="1" ht="14.25" customHeight="1" x14ac:dyDescent="0.25">
      <c r="A144" s="594"/>
      <c r="B144" s="594"/>
      <c r="C144" s="594"/>
      <c r="D144" s="594"/>
      <c r="E144" s="594"/>
      <c r="F144" s="594"/>
      <c r="G144" s="138"/>
      <c r="H144" s="138"/>
      <c r="I144" s="138"/>
    </row>
    <row r="145" spans="1:9" s="137" customFormat="1" ht="14.25" customHeight="1" x14ac:dyDescent="0.25">
      <c r="A145" s="594"/>
      <c r="B145" s="594"/>
      <c r="C145" s="594"/>
      <c r="D145" s="594"/>
      <c r="E145" s="594"/>
      <c r="F145" s="594"/>
      <c r="G145" s="138"/>
      <c r="H145" s="138"/>
      <c r="I145" s="138"/>
    </row>
    <row r="146" spans="1:9" s="137" customFormat="1" ht="14.25" customHeight="1" x14ac:dyDescent="0.25">
      <c r="A146" s="138"/>
      <c r="B146" s="138"/>
      <c r="C146" s="138"/>
      <c r="D146" s="138"/>
      <c r="E146" s="138"/>
      <c r="F146" s="138"/>
      <c r="G146" s="138"/>
      <c r="H146" s="138"/>
      <c r="I146" s="138"/>
    </row>
    <row r="147" spans="1:9" ht="15.75" customHeight="1" x14ac:dyDescent="0.25">
      <c r="A147" s="142" t="s">
        <v>326</v>
      </c>
      <c r="B147" s="142"/>
      <c r="C147" s="142"/>
      <c r="D147" s="142"/>
      <c r="E147" s="142"/>
      <c r="F147" s="142"/>
      <c r="G147" s="142"/>
      <c r="H147" s="142"/>
      <c r="I147" s="142"/>
    </row>
    <row r="148" spans="1:9" s="137" customFormat="1" ht="14.25" customHeight="1" x14ac:dyDescent="0.25">
      <c r="A148" s="140"/>
      <c r="B148" s="140"/>
      <c r="C148" s="140"/>
      <c r="D148" s="140"/>
      <c r="E148" s="140"/>
      <c r="F148" s="140"/>
      <c r="G148" s="140"/>
      <c r="H148" s="140"/>
      <c r="I148" s="140"/>
    </row>
    <row r="149" spans="1:9" s="137" customFormat="1" ht="14.25" customHeight="1" x14ac:dyDescent="0.2">
      <c r="A149" s="594" t="s">
        <v>1243</v>
      </c>
      <c r="B149" s="594"/>
      <c r="C149" s="594"/>
      <c r="D149" s="594"/>
      <c r="E149" s="594"/>
      <c r="F149" s="594"/>
      <c r="G149" s="144"/>
      <c r="H149" s="144"/>
      <c r="I149" s="144"/>
    </row>
    <row r="150" spans="1:9" s="137" customFormat="1" ht="14.25" customHeight="1" x14ac:dyDescent="0.2">
      <c r="A150" s="594"/>
      <c r="B150" s="594"/>
      <c r="C150" s="594"/>
      <c r="D150" s="594"/>
      <c r="E150" s="594"/>
      <c r="F150" s="594"/>
      <c r="G150" s="144"/>
      <c r="H150" s="144"/>
      <c r="I150" s="144"/>
    </row>
    <row r="151" spans="1:9" s="137" customFormat="1" ht="65.25" customHeight="1" x14ac:dyDescent="0.2">
      <c r="A151" s="594"/>
      <c r="B151" s="594"/>
      <c r="C151" s="594"/>
      <c r="D151" s="594"/>
      <c r="E151" s="594"/>
      <c r="F151" s="594"/>
      <c r="G151" s="144"/>
      <c r="H151" s="144"/>
      <c r="I151" s="144"/>
    </row>
    <row r="152" spans="1:9" s="137" customFormat="1" ht="14.25" customHeight="1" x14ac:dyDescent="0.25">
      <c r="A152" s="6"/>
      <c r="B152" s="6"/>
      <c r="C152" s="6"/>
      <c r="D152" s="6"/>
      <c r="E152" s="6"/>
      <c r="F152" s="6"/>
      <c r="G152" s="156"/>
      <c r="H152" s="156"/>
      <c r="I152" s="156"/>
    </row>
    <row r="153" spans="1:9" ht="15.75" customHeight="1" x14ac:dyDescent="0.25">
      <c r="A153" s="142" t="s">
        <v>325</v>
      </c>
      <c r="B153" s="142"/>
      <c r="C153" s="142"/>
      <c r="D153" s="142"/>
      <c r="E153" s="142"/>
      <c r="F153" s="142"/>
      <c r="G153" s="142"/>
      <c r="H153" s="142"/>
      <c r="I153" s="142"/>
    </row>
    <row r="154" spans="1:9" s="137" customFormat="1" ht="14.25" customHeight="1" x14ac:dyDescent="0.25">
      <c r="A154" s="140"/>
      <c r="B154" s="140"/>
      <c r="C154" s="140"/>
      <c r="D154" s="140"/>
      <c r="E154" s="140"/>
      <c r="F154" s="140"/>
      <c r="G154" s="140"/>
      <c r="H154" s="140"/>
      <c r="I154" s="140"/>
    </row>
    <row r="155" spans="1:9" s="137" customFormat="1" ht="14.25" customHeight="1" x14ac:dyDescent="0.25">
      <c r="A155" s="599" t="s">
        <v>213</v>
      </c>
      <c r="B155" s="600"/>
      <c r="C155" s="600"/>
      <c r="D155" s="600"/>
      <c r="E155" s="600"/>
      <c r="F155" s="600"/>
      <c r="G155" s="138"/>
      <c r="H155" s="138"/>
      <c r="I155" s="138"/>
    </row>
    <row r="156" spans="1:9" s="137" customFormat="1" ht="14.25" customHeight="1" x14ac:dyDescent="0.25">
      <c r="A156" s="600"/>
      <c r="B156" s="600"/>
      <c r="C156" s="600"/>
      <c r="D156" s="600"/>
      <c r="E156" s="600"/>
      <c r="F156" s="600"/>
      <c r="G156" s="138"/>
      <c r="H156" s="138"/>
      <c r="I156" s="138"/>
    </row>
    <row r="157" spans="1:9" s="137" customFormat="1" ht="14.25" customHeight="1" x14ac:dyDescent="0.25">
      <c r="A157" s="600"/>
      <c r="B157" s="600"/>
      <c r="C157" s="600"/>
      <c r="D157" s="600"/>
      <c r="E157" s="600"/>
      <c r="F157" s="600"/>
      <c r="G157" s="138"/>
      <c r="H157" s="138"/>
      <c r="I157" s="138"/>
    </row>
    <row r="158" spans="1:9" s="137" customFormat="1" ht="14.25" customHeight="1" x14ac:dyDescent="0.25">
      <c r="A158" s="600"/>
      <c r="B158" s="600"/>
      <c r="C158" s="600"/>
      <c r="D158" s="600"/>
      <c r="E158" s="600"/>
      <c r="F158" s="600"/>
      <c r="G158" s="138"/>
      <c r="H158" s="138"/>
      <c r="I158" s="138"/>
    </row>
    <row r="159" spans="1:9" s="137" customFormat="1" ht="14.25" customHeight="1" x14ac:dyDescent="0.2">
      <c r="A159" s="600"/>
      <c r="B159" s="600"/>
      <c r="C159" s="600"/>
      <c r="D159" s="600"/>
      <c r="E159" s="600"/>
      <c r="F159" s="600"/>
      <c r="G159" s="144"/>
      <c r="H159" s="144"/>
      <c r="I159" s="144"/>
    </row>
    <row r="160" spans="1:9" s="137" customFormat="1" ht="14.25" customHeight="1" x14ac:dyDescent="0.25">
      <c r="A160" s="600"/>
      <c r="B160" s="600"/>
      <c r="C160" s="600"/>
      <c r="D160" s="600"/>
      <c r="E160" s="600"/>
      <c r="F160" s="600"/>
      <c r="G160" s="138"/>
      <c r="H160" s="138"/>
      <c r="I160" s="138"/>
    </row>
    <row r="161" spans="1:9" s="137" customFormat="1" ht="14.25" customHeight="1" x14ac:dyDescent="0.25">
      <c r="A161" s="2"/>
      <c r="B161" s="2"/>
      <c r="C161" s="2"/>
      <c r="D161" s="2"/>
      <c r="E161" s="2"/>
      <c r="F161" s="2"/>
      <c r="G161" s="138"/>
      <c r="H161" s="138"/>
      <c r="I161" s="138"/>
    </row>
    <row r="162" spans="1:9" ht="15.75" customHeight="1" x14ac:dyDescent="0.25">
      <c r="A162" s="142" t="s">
        <v>324</v>
      </c>
      <c r="B162" s="142"/>
      <c r="C162" s="142"/>
      <c r="D162" s="142"/>
      <c r="E162" s="142"/>
      <c r="F162" s="142"/>
      <c r="G162" s="142"/>
      <c r="H162" s="142"/>
      <c r="I162" s="142"/>
    </row>
    <row r="163" spans="1:9" s="137" customFormat="1" ht="14.25" customHeight="1" x14ac:dyDescent="0.25">
      <c r="A163" s="140"/>
      <c r="B163" s="140"/>
      <c r="C163" s="140"/>
      <c r="D163" s="140"/>
      <c r="E163" s="140"/>
      <c r="F163" s="140"/>
      <c r="G163" s="140"/>
      <c r="H163" s="140"/>
      <c r="I163" s="140"/>
    </row>
    <row r="164" spans="1:9" s="137" customFormat="1" ht="14.25" customHeight="1" x14ac:dyDescent="0.25">
      <c r="A164" s="599" t="s">
        <v>1244</v>
      </c>
      <c r="B164" s="600"/>
      <c r="C164" s="600"/>
      <c r="D164" s="600"/>
      <c r="E164" s="600"/>
      <c r="F164" s="600"/>
      <c r="G164" s="138"/>
      <c r="H164" s="138"/>
      <c r="I164" s="138"/>
    </row>
    <row r="165" spans="1:9" s="137" customFormat="1" ht="14.25" customHeight="1" x14ac:dyDescent="0.25">
      <c r="A165" s="600"/>
      <c r="B165" s="600"/>
      <c r="C165" s="600"/>
      <c r="D165" s="600"/>
      <c r="E165" s="600"/>
      <c r="F165" s="600"/>
      <c r="G165" s="138"/>
      <c r="H165" s="138"/>
      <c r="I165" s="138"/>
    </row>
    <row r="166" spans="1:9" s="137" customFormat="1" ht="14.25" customHeight="1" x14ac:dyDescent="0.25">
      <c r="A166" s="600"/>
      <c r="B166" s="600"/>
      <c r="C166" s="600"/>
      <c r="D166" s="600"/>
      <c r="E166" s="600"/>
      <c r="F166" s="600"/>
      <c r="G166" s="138"/>
      <c r="H166" s="138"/>
      <c r="I166" s="138"/>
    </row>
    <row r="167" spans="1:9" s="137" customFormat="1" ht="14.25" customHeight="1" x14ac:dyDescent="0.25">
      <c r="A167" s="138"/>
      <c r="B167" s="138"/>
      <c r="C167" s="138"/>
      <c r="D167" s="138"/>
      <c r="E167" s="138"/>
      <c r="F167" s="138"/>
      <c r="G167" s="138"/>
      <c r="H167" s="138"/>
      <c r="I167" s="138"/>
    </row>
    <row r="168" spans="1:9" s="137" customFormat="1" ht="14.25" customHeight="1" x14ac:dyDescent="0.25">
      <c r="A168" s="599" t="s">
        <v>1245</v>
      </c>
      <c r="B168" s="600"/>
      <c r="C168" s="600"/>
      <c r="D168" s="600"/>
      <c r="E168" s="600"/>
      <c r="F168" s="600"/>
      <c r="G168" s="138"/>
      <c r="H168" s="138"/>
      <c r="I168" s="138"/>
    </row>
    <row r="169" spans="1:9" s="137" customFormat="1" ht="72" customHeight="1" x14ac:dyDescent="0.25">
      <c r="A169" s="600"/>
      <c r="B169" s="600"/>
      <c r="C169" s="600"/>
      <c r="D169" s="600"/>
      <c r="E169" s="600"/>
      <c r="F169" s="600"/>
      <c r="G169" s="138"/>
      <c r="H169" s="138"/>
      <c r="I169" s="138"/>
    </row>
    <row r="170" spans="1:9" s="137" customFormat="1" ht="14.25" customHeight="1" x14ac:dyDescent="0.25">
      <c r="A170" s="2"/>
      <c r="B170" s="2"/>
      <c r="C170" s="2"/>
      <c r="D170" s="2"/>
      <c r="E170" s="2"/>
      <c r="F170" s="2"/>
      <c r="G170" s="138"/>
      <c r="H170" s="138"/>
      <c r="I170" s="138"/>
    </row>
    <row r="171" spans="1:9" s="137" customFormat="1" ht="14.25" customHeight="1" x14ac:dyDescent="0.25">
      <c r="A171" s="603" t="s">
        <v>1246</v>
      </c>
      <c r="B171" s="604"/>
      <c r="C171" s="604"/>
      <c r="D171" s="604"/>
      <c r="E171" s="604"/>
      <c r="F171" s="604"/>
      <c r="G171" s="138"/>
      <c r="H171" s="138"/>
      <c r="I171" s="138"/>
    </row>
    <row r="172" spans="1:9" s="137" customFormat="1" ht="14.25" customHeight="1" x14ac:dyDescent="0.25">
      <c r="A172" s="604"/>
      <c r="B172" s="604"/>
      <c r="C172" s="604"/>
      <c r="D172" s="604"/>
      <c r="E172" s="604"/>
      <c r="F172" s="604"/>
      <c r="G172" s="138"/>
      <c r="H172" s="138"/>
      <c r="I172" s="138"/>
    </row>
    <row r="173" spans="1:9" s="137" customFormat="1" ht="14.25" customHeight="1" x14ac:dyDescent="0.25">
      <c r="A173" s="138"/>
      <c r="B173" s="138"/>
      <c r="C173" s="138"/>
      <c r="D173" s="138"/>
      <c r="E173" s="138"/>
      <c r="F173" s="138"/>
      <c r="G173" s="138"/>
      <c r="H173" s="138"/>
      <c r="I173" s="138"/>
    </row>
    <row r="174" spans="1:9" s="137" customFormat="1" ht="14.25" customHeight="1" x14ac:dyDescent="0.25">
      <c r="A174" s="594" t="s">
        <v>1247</v>
      </c>
      <c r="B174" s="594"/>
      <c r="C174" s="594"/>
      <c r="D174" s="594"/>
      <c r="E174" s="594"/>
      <c r="F174" s="594"/>
      <c r="G174" s="138"/>
      <c r="H174" s="138"/>
      <c r="I174" s="138"/>
    </row>
    <row r="175" spans="1:9" s="137" customFormat="1" ht="14.25" customHeight="1" x14ac:dyDescent="0.25">
      <c r="A175" s="594"/>
      <c r="B175" s="594"/>
      <c r="C175" s="594"/>
      <c r="D175" s="594"/>
      <c r="E175" s="594"/>
      <c r="F175" s="594"/>
      <c r="G175" s="138"/>
      <c r="H175" s="138"/>
      <c r="I175" s="138"/>
    </row>
    <row r="176" spans="1:9" s="137" customFormat="1" ht="14.25" customHeight="1" x14ac:dyDescent="0.2">
      <c r="A176" s="2"/>
      <c r="B176" s="2"/>
      <c r="C176" s="2"/>
      <c r="D176" s="2"/>
      <c r="E176" s="2"/>
      <c r="F176" s="2"/>
      <c r="G176" s="2"/>
      <c r="H176" s="2"/>
      <c r="I176" s="2"/>
    </row>
    <row r="177" spans="1:10" s="137" customFormat="1" ht="14.25" customHeight="1" x14ac:dyDescent="0.25">
      <c r="A177" s="599" t="s">
        <v>401</v>
      </c>
      <c r="B177" s="600"/>
      <c r="C177" s="600"/>
      <c r="D177" s="600"/>
      <c r="E177" s="600"/>
      <c r="F177" s="600"/>
      <c r="G177" s="138"/>
      <c r="H177" s="138"/>
      <c r="I177" s="138"/>
    </row>
    <row r="178" spans="1:10" s="137" customFormat="1" ht="14.25" customHeight="1" x14ac:dyDescent="0.25">
      <c r="A178" s="600"/>
      <c r="B178" s="600"/>
      <c r="C178" s="600"/>
      <c r="D178" s="600"/>
      <c r="E178" s="600"/>
      <c r="F178" s="600"/>
      <c r="G178" s="138"/>
      <c r="H178" s="138"/>
      <c r="I178" s="138"/>
    </row>
    <row r="179" spans="1:10" s="137" customFormat="1" ht="14.25" customHeight="1" x14ac:dyDescent="0.25">
      <c r="A179" s="153"/>
      <c r="B179" s="152"/>
      <c r="C179" s="152"/>
      <c r="D179" s="152"/>
      <c r="E179" s="152"/>
      <c r="F179" s="152"/>
      <c r="G179" s="152"/>
      <c r="H179" s="152"/>
      <c r="I179" s="152"/>
    </row>
    <row r="180" spans="1:10" ht="15.75" customHeight="1" x14ac:dyDescent="0.25">
      <c r="A180" s="142" t="s">
        <v>316</v>
      </c>
      <c r="B180" s="142"/>
      <c r="C180" s="142"/>
      <c r="D180" s="142"/>
      <c r="E180" s="142"/>
      <c r="F180" s="142"/>
      <c r="G180" s="142"/>
      <c r="H180" s="142"/>
      <c r="I180" s="142"/>
    </row>
    <row r="181" spans="1:10" s="137" customFormat="1" ht="14.25" customHeight="1" x14ac:dyDescent="0.25">
      <c r="A181" s="140"/>
      <c r="B181" s="140"/>
      <c r="C181" s="140"/>
      <c r="D181" s="140"/>
      <c r="E181" s="140"/>
      <c r="F181" s="140"/>
      <c r="G181" s="140"/>
      <c r="H181" s="140"/>
      <c r="I181" s="140"/>
    </row>
    <row r="182" spans="1:10" s="137" customFormat="1" ht="14.25" customHeight="1" x14ac:dyDescent="0.25">
      <c r="A182" s="601" t="s">
        <v>323</v>
      </c>
      <c r="B182" s="600"/>
      <c r="C182" s="600"/>
      <c r="D182" s="600"/>
      <c r="E182" s="600"/>
      <c r="F182" s="600"/>
      <c r="G182" s="138"/>
      <c r="H182" s="138"/>
      <c r="I182" s="138"/>
    </row>
    <row r="183" spans="1:10" s="137" customFormat="1" ht="15" x14ac:dyDescent="0.25">
      <c r="A183" s="600"/>
      <c r="B183" s="600"/>
      <c r="C183" s="600"/>
      <c r="D183" s="600"/>
      <c r="E183" s="600"/>
      <c r="F183" s="600"/>
      <c r="G183" s="138"/>
      <c r="H183" s="138"/>
      <c r="I183" s="138"/>
    </row>
    <row r="184" spans="1:10" s="137" customFormat="1" ht="14.25" customHeight="1" x14ac:dyDescent="0.25">
      <c r="A184" s="138"/>
      <c r="B184" s="138"/>
      <c r="C184" s="138"/>
      <c r="D184" s="138"/>
      <c r="E184" s="138"/>
      <c r="F184" s="138"/>
      <c r="G184" s="138"/>
      <c r="H184" s="138"/>
      <c r="I184" s="138"/>
    </row>
    <row r="185" spans="1:10" s="137" customFormat="1" ht="14.25" customHeight="1" x14ac:dyDescent="0.25">
      <c r="A185" s="601" t="s">
        <v>1076</v>
      </c>
      <c r="B185" s="600"/>
      <c r="C185" s="600"/>
      <c r="D185" s="600"/>
      <c r="E185" s="600"/>
      <c r="F185" s="600"/>
      <c r="G185" s="138"/>
      <c r="H185" s="138"/>
      <c r="I185" s="138"/>
    </row>
    <row r="186" spans="1:10" s="137" customFormat="1" ht="14.25" customHeight="1" x14ac:dyDescent="0.25">
      <c r="A186" s="600"/>
      <c r="B186" s="600"/>
      <c r="C186" s="600"/>
      <c r="D186" s="600"/>
      <c r="E186" s="600"/>
      <c r="F186" s="600"/>
      <c r="G186" s="138"/>
      <c r="H186" s="138"/>
      <c r="I186" s="138"/>
      <c r="J186" s="137" t="s">
        <v>317</v>
      </c>
    </row>
    <row r="187" spans="1:10" s="137" customFormat="1" ht="14.25" customHeight="1" x14ac:dyDescent="0.25">
      <c r="A187" s="138"/>
      <c r="B187" s="138"/>
      <c r="C187" s="138"/>
      <c r="D187" s="138"/>
      <c r="E187" s="138"/>
      <c r="F187" s="138"/>
      <c r="G187" s="138"/>
      <c r="H187" s="138"/>
      <c r="I187" s="138"/>
    </row>
    <row r="188" spans="1:10" s="137" customFormat="1" ht="14.25" customHeight="1" x14ac:dyDescent="0.2">
      <c r="A188" s="602" t="s">
        <v>318</v>
      </c>
      <c r="B188" s="602"/>
      <c r="C188" s="602"/>
      <c r="D188" s="602"/>
      <c r="E188" s="602"/>
      <c r="F188" s="602"/>
      <c r="G188" s="139"/>
      <c r="H188" s="139"/>
      <c r="I188" s="139"/>
    </row>
    <row r="189" spans="1:10" s="137" customFormat="1" ht="14.25" customHeight="1" x14ac:dyDescent="0.2">
      <c r="A189" s="602"/>
      <c r="B189" s="602"/>
      <c r="C189" s="602"/>
      <c r="D189" s="602"/>
      <c r="E189" s="602"/>
      <c r="F189" s="602"/>
      <c r="G189" s="139"/>
      <c r="H189" s="139"/>
      <c r="I189" s="139"/>
    </row>
    <row r="190" spans="1:10" s="137" customFormat="1" ht="14.25" customHeight="1" x14ac:dyDescent="0.2">
      <c r="A190" s="602"/>
      <c r="B190" s="602"/>
      <c r="C190" s="602"/>
      <c r="D190" s="602"/>
      <c r="E190" s="602"/>
      <c r="F190" s="602"/>
      <c r="G190" s="139"/>
      <c r="H190" s="139"/>
      <c r="I190" s="139"/>
    </row>
    <row r="191" spans="1:10" s="137" customFormat="1" ht="14.25" customHeight="1" x14ac:dyDescent="0.2">
      <c r="A191" s="602"/>
      <c r="B191" s="602"/>
      <c r="C191" s="602"/>
      <c r="D191" s="602"/>
      <c r="E191" s="602"/>
      <c r="F191" s="602"/>
      <c r="G191" s="139"/>
      <c r="H191" s="139"/>
      <c r="I191" s="139"/>
    </row>
    <row r="192" spans="1:10" s="137" customFormat="1" ht="14.25" customHeight="1" x14ac:dyDescent="0.2">
      <c r="A192" s="139"/>
      <c r="B192" s="139"/>
      <c r="C192" s="139"/>
      <c r="D192" s="139"/>
      <c r="E192" s="139"/>
      <c r="F192" s="139"/>
      <c r="G192" s="139"/>
      <c r="H192" s="139"/>
      <c r="I192" s="139"/>
    </row>
    <row r="193" spans="1:10" s="137" customFormat="1" ht="14.25" customHeight="1" x14ac:dyDescent="0.25">
      <c r="A193" s="601" t="s">
        <v>1248</v>
      </c>
      <c r="B193" s="600"/>
      <c r="C193" s="600"/>
      <c r="D193" s="600"/>
      <c r="E193" s="600"/>
      <c r="F193" s="600"/>
      <c r="G193" s="138"/>
      <c r="H193" s="138"/>
      <c r="I193" s="138"/>
      <c r="J193" s="152" t="s">
        <v>319</v>
      </c>
    </row>
    <row r="194" spans="1:10" s="137" customFormat="1" ht="14.25" customHeight="1" x14ac:dyDescent="0.25">
      <c r="A194" s="600"/>
      <c r="B194" s="600"/>
      <c r="C194" s="600"/>
      <c r="D194" s="600"/>
      <c r="E194" s="600"/>
      <c r="F194" s="600"/>
      <c r="G194" s="138"/>
      <c r="H194" s="138"/>
      <c r="I194" s="138"/>
      <c r="J194" s="152"/>
    </row>
    <row r="195" spans="1:10" s="137" customFormat="1" ht="14.25" customHeight="1" x14ac:dyDescent="0.25">
      <c r="A195" s="138"/>
      <c r="B195" s="138"/>
      <c r="C195" s="138"/>
      <c r="D195" s="138"/>
      <c r="E195" s="138"/>
      <c r="F195" s="138"/>
      <c r="G195" s="138"/>
      <c r="H195" s="138"/>
      <c r="I195" s="138"/>
      <c r="J195" s="152"/>
    </row>
    <row r="196" spans="1:10" s="137" customFormat="1" ht="14.25" customHeight="1" x14ac:dyDescent="0.25">
      <c r="A196" s="594" t="s">
        <v>214</v>
      </c>
      <c r="B196" s="594"/>
      <c r="C196" s="594"/>
      <c r="D196" s="594"/>
      <c r="E196" s="594"/>
      <c r="F196" s="594"/>
      <c r="G196" s="144"/>
      <c r="H196" s="144"/>
      <c r="I196" s="144"/>
      <c r="J196" s="152"/>
    </row>
    <row r="197" spans="1:10" s="137" customFormat="1" ht="14.25" customHeight="1" x14ac:dyDescent="0.25">
      <c r="A197" s="594"/>
      <c r="B197" s="594"/>
      <c r="C197" s="594"/>
      <c r="D197" s="594"/>
      <c r="E197" s="594"/>
      <c r="F197" s="594"/>
      <c r="G197" s="144"/>
      <c r="H197" s="144"/>
      <c r="I197" s="144"/>
      <c r="J197" s="152"/>
    </row>
    <row r="198" spans="1:10" s="137" customFormat="1" ht="14.25" customHeight="1" x14ac:dyDescent="0.25">
      <c r="A198" s="594"/>
      <c r="B198" s="594"/>
      <c r="C198" s="594"/>
      <c r="D198" s="594"/>
      <c r="E198" s="594"/>
      <c r="F198" s="594"/>
      <c r="G198" s="144"/>
      <c r="H198" s="144"/>
      <c r="I198" s="144"/>
      <c r="J198" s="152"/>
    </row>
    <row r="199" spans="1:10" s="137" customFormat="1" ht="14.25" customHeight="1" x14ac:dyDescent="0.25">
      <c r="A199" s="2"/>
      <c r="B199" s="2"/>
      <c r="C199" s="2"/>
      <c r="D199" s="2"/>
      <c r="E199" s="2"/>
      <c r="F199" s="2"/>
      <c r="G199" s="138"/>
      <c r="H199" s="138"/>
      <c r="I199" s="138"/>
      <c r="J199" s="152"/>
    </row>
    <row r="200" spans="1:10" ht="15.75" customHeight="1" x14ac:dyDescent="0.25">
      <c r="A200" s="142" t="s">
        <v>851</v>
      </c>
      <c r="B200" s="142"/>
      <c r="C200" s="142"/>
      <c r="D200" s="142"/>
      <c r="E200" s="142"/>
      <c r="F200" s="142"/>
      <c r="G200" s="142"/>
      <c r="H200" s="142"/>
      <c r="I200" s="142"/>
      <c r="J200" s="142"/>
    </row>
    <row r="201" spans="1:10" s="137" customFormat="1" ht="14.25" customHeight="1" x14ac:dyDescent="0.25">
      <c r="A201" s="140"/>
      <c r="B201" s="140"/>
      <c r="C201" s="140"/>
      <c r="D201" s="140"/>
      <c r="E201" s="140"/>
      <c r="F201" s="140"/>
      <c r="G201" s="140"/>
      <c r="H201" s="140"/>
      <c r="I201" s="140"/>
      <c r="J201" s="140"/>
    </row>
    <row r="202" spans="1:10" s="137" customFormat="1" ht="14.25" customHeight="1" x14ac:dyDescent="0.25">
      <c r="A202" s="602" t="s">
        <v>403</v>
      </c>
      <c r="B202" s="602"/>
      <c r="C202" s="602"/>
      <c r="D202" s="602"/>
      <c r="E202" s="602"/>
      <c r="F202" s="602"/>
      <c r="G202" s="138"/>
      <c r="H202" s="138"/>
      <c r="I202" s="138"/>
      <c r="J202" s="152"/>
    </row>
    <row r="203" spans="1:10" s="137" customFormat="1" ht="14.25" customHeight="1" x14ac:dyDescent="0.25">
      <c r="A203" s="602"/>
      <c r="B203" s="602"/>
      <c r="C203" s="602"/>
      <c r="D203" s="602"/>
      <c r="E203" s="602"/>
      <c r="F203" s="602"/>
      <c r="G203" s="138"/>
      <c r="H203" s="138"/>
      <c r="I203" s="138"/>
      <c r="J203" s="152"/>
    </row>
    <row r="204" spans="1:10" s="137" customFormat="1" ht="14.25" customHeight="1" x14ac:dyDescent="0.25">
      <c r="A204" s="602"/>
      <c r="B204" s="602"/>
      <c r="C204" s="602"/>
      <c r="D204" s="602"/>
      <c r="E204" s="602"/>
      <c r="F204" s="602"/>
      <c r="G204" s="138"/>
      <c r="H204" s="138"/>
      <c r="I204" s="138"/>
      <c r="J204" s="152"/>
    </row>
    <row r="205" spans="1:10" s="137" customFormat="1" ht="14.25" customHeight="1" x14ac:dyDescent="0.25">
      <c r="A205" s="602"/>
      <c r="B205" s="602"/>
      <c r="C205" s="602"/>
      <c r="D205" s="602"/>
      <c r="E205" s="602"/>
      <c r="F205" s="602"/>
      <c r="G205" s="138"/>
      <c r="H205" s="138"/>
      <c r="I205" s="138"/>
      <c r="J205" s="152"/>
    </row>
    <row r="206" spans="1:10" s="137" customFormat="1" ht="14.25" customHeight="1" x14ac:dyDescent="0.25">
      <c r="A206" s="602"/>
      <c r="B206" s="602"/>
      <c r="C206" s="602"/>
      <c r="D206" s="602"/>
      <c r="E206" s="602"/>
      <c r="F206" s="602"/>
      <c r="G206" s="144"/>
      <c r="H206" s="144"/>
      <c r="I206" s="144"/>
      <c r="J206" s="152"/>
    </row>
    <row r="207" spans="1:10" s="137" customFormat="1" ht="14.25" customHeight="1" x14ac:dyDescent="0.25">
      <c r="A207" s="602"/>
      <c r="B207" s="602"/>
      <c r="C207" s="602"/>
      <c r="D207" s="602"/>
      <c r="E207" s="602"/>
      <c r="F207" s="602"/>
      <c r="G207" s="144"/>
      <c r="H207" s="144"/>
      <c r="I207" s="144"/>
      <c r="J207" s="152"/>
    </row>
    <row r="208" spans="1:10" s="137" customFormat="1" ht="14.25" customHeight="1" x14ac:dyDescent="0.25">
      <c r="A208" s="2"/>
      <c r="B208" s="2"/>
      <c r="C208" s="2"/>
      <c r="D208" s="2"/>
      <c r="E208" s="2"/>
      <c r="F208" s="2"/>
      <c r="G208" s="138"/>
      <c r="H208" s="138"/>
      <c r="I208" s="138"/>
      <c r="J208" s="152"/>
    </row>
    <row r="209" spans="1:10" ht="15.75" customHeight="1" x14ac:dyDescent="0.25">
      <c r="A209" s="142" t="s">
        <v>1074</v>
      </c>
      <c r="B209" s="142"/>
      <c r="C209" s="142"/>
      <c r="D209" s="142"/>
      <c r="E209" s="142"/>
      <c r="F209" s="142"/>
      <c r="G209" s="142"/>
      <c r="H209" s="142"/>
      <c r="I209" s="142"/>
      <c r="J209" s="161" t="s">
        <v>1055</v>
      </c>
    </row>
    <row r="210" spans="1:10" s="137" customFormat="1" ht="14.25" customHeight="1" x14ac:dyDescent="0.25">
      <c r="A210" s="140"/>
      <c r="B210" s="140"/>
      <c r="C210" s="140"/>
      <c r="D210" s="140"/>
      <c r="E210" s="140"/>
      <c r="F210" s="140"/>
      <c r="G210" s="140"/>
      <c r="H210" s="140"/>
      <c r="I210" s="140"/>
      <c r="J210" s="160"/>
    </row>
    <row r="211" spans="1:10" s="137" customFormat="1" ht="14.25" customHeight="1" x14ac:dyDescent="0.25">
      <c r="A211" s="602" t="s">
        <v>215</v>
      </c>
      <c r="B211" s="602"/>
      <c r="C211" s="602"/>
      <c r="D211" s="602"/>
      <c r="E211" s="602"/>
      <c r="F211" s="602"/>
      <c r="G211" s="138"/>
      <c r="H211" s="138"/>
      <c r="I211" s="138"/>
      <c r="J211" s="152"/>
    </row>
    <row r="212" spans="1:10" s="137" customFormat="1" ht="14.25" customHeight="1" x14ac:dyDescent="0.25">
      <c r="A212" s="602"/>
      <c r="B212" s="602"/>
      <c r="C212" s="602"/>
      <c r="D212" s="602"/>
      <c r="E212" s="602"/>
      <c r="F212" s="602"/>
      <c r="G212" s="138"/>
      <c r="H212" s="138"/>
      <c r="I212" s="138"/>
      <c r="J212" s="152"/>
    </row>
    <row r="213" spans="1:10" s="137" customFormat="1" ht="14.25" customHeight="1" x14ac:dyDescent="0.25">
      <c r="A213" s="602"/>
      <c r="B213" s="602"/>
      <c r="C213" s="602"/>
      <c r="D213" s="602"/>
      <c r="E213" s="602"/>
      <c r="F213" s="602"/>
      <c r="G213" s="138"/>
      <c r="H213" s="138"/>
      <c r="I213" s="138"/>
    </row>
    <row r="214" spans="1:10" s="137" customFormat="1" ht="14.25" customHeight="1" x14ac:dyDescent="0.25">
      <c r="A214" s="2"/>
      <c r="B214" s="2"/>
      <c r="C214" s="2"/>
      <c r="D214" s="2"/>
      <c r="E214" s="2"/>
      <c r="F214" s="2"/>
      <c r="G214" s="138"/>
      <c r="H214" s="138"/>
      <c r="I214" s="138"/>
    </row>
    <row r="215" spans="1:10" s="137" customFormat="1" ht="14.25" customHeight="1" x14ac:dyDescent="0.25">
      <c r="A215" s="159" t="s">
        <v>1073</v>
      </c>
      <c r="B215" s="152"/>
      <c r="C215" s="152"/>
      <c r="D215" s="152"/>
      <c r="E215" s="152"/>
      <c r="F215" s="152"/>
      <c r="G215" s="152"/>
      <c r="H215" s="152"/>
      <c r="I215" s="152"/>
    </row>
    <row r="216" spans="1:10" s="137" customFormat="1" ht="14.25" customHeight="1" x14ac:dyDescent="0.25">
      <c r="A216" s="159"/>
      <c r="B216" s="152"/>
      <c r="C216" s="152"/>
      <c r="D216" s="152"/>
      <c r="E216" s="152"/>
      <c r="F216" s="152"/>
      <c r="G216" s="152"/>
      <c r="H216" s="152"/>
      <c r="I216" s="152"/>
    </row>
    <row r="217" spans="1:10" s="137" customFormat="1" ht="14.25" customHeight="1" x14ac:dyDescent="0.25">
      <c r="A217" s="595" t="s">
        <v>1072</v>
      </c>
      <c r="B217" s="596"/>
      <c r="C217" s="596"/>
      <c r="D217" s="596"/>
      <c r="E217" s="152"/>
      <c r="F217" s="592" t="s">
        <v>216</v>
      </c>
      <c r="G217" s="593"/>
      <c r="H217" s="593"/>
      <c r="I217" s="152"/>
    </row>
    <row r="218" spans="1:10" s="137" customFormat="1" ht="14.25" customHeight="1" x14ac:dyDescent="0.25">
      <c r="A218" s="595" t="s">
        <v>1071</v>
      </c>
      <c r="B218" s="596"/>
      <c r="C218" s="596"/>
      <c r="D218" s="596"/>
      <c r="E218" s="152"/>
      <c r="F218" s="592" t="s">
        <v>924</v>
      </c>
      <c r="G218" s="593"/>
      <c r="H218" s="593"/>
      <c r="I218" s="152"/>
    </row>
    <row r="219" spans="1:10" s="137" customFormat="1" ht="14.25" customHeight="1" x14ac:dyDescent="0.25">
      <c r="A219" s="153" t="s">
        <v>843</v>
      </c>
      <c r="B219" s="152"/>
      <c r="C219" s="152"/>
      <c r="D219" s="153"/>
      <c r="E219" s="152"/>
      <c r="F219" s="592" t="s">
        <v>307</v>
      </c>
      <c r="G219" s="592"/>
      <c r="H219" s="592"/>
      <c r="I219" s="152"/>
    </row>
    <row r="220" spans="1:10" s="137" customFormat="1" ht="14.25" customHeight="1" x14ac:dyDescent="0.25">
      <c r="A220" s="153" t="s">
        <v>1030</v>
      </c>
      <c r="B220" s="152"/>
      <c r="C220" s="152"/>
      <c r="D220" s="152"/>
      <c r="E220" s="152"/>
      <c r="F220" s="592" t="s">
        <v>925</v>
      </c>
      <c r="G220" s="593"/>
      <c r="H220" s="593"/>
      <c r="I220" s="152"/>
    </row>
    <row r="221" spans="1:10" s="137" customFormat="1" ht="14.25" hidden="1" customHeight="1" x14ac:dyDescent="0.25">
      <c r="A221" s="153"/>
      <c r="B221" s="152"/>
      <c r="C221" s="152"/>
      <c r="D221" s="152"/>
      <c r="E221" s="152"/>
      <c r="F221" s="157"/>
      <c r="G221" s="158"/>
      <c r="H221" s="158"/>
      <c r="I221" s="152"/>
    </row>
    <row r="222" spans="1:10" s="137" customFormat="1" ht="14.25" hidden="1" customHeight="1" x14ac:dyDescent="0.25">
      <c r="A222" s="595" t="s">
        <v>851</v>
      </c>
      <c r="B222" s="596"/>
      <c r="C222" s="596"/>
      <c r="D222" s="596"/>
      <c r="E222" s="152"/>
      <c r="F222" s="606" t="s">
        <v>1070</v>
      </c>
      <c r="G222" s="606"/>
      <c r="H222" s="606"/>
      <c r="I222" s="153"/>
    </row>
    <row r="223" spans="1:10" s="137" customFormat="1" ht="14.25" customHeight="1" x14ac:dyDescent="0.25">
      <c r="A223" s="595" t="s">
        <v>217</v>
      </c>
      <c r="B223" s="596"/>
      <c r="C223" s="596"/>
      <c r="D223" s="596"/>
      <c r="E223" s="152"/>
      <c r="F223" s="595" t="s">
        <v>308</v>
      </c>
      <c r="G223" s="596"/>
      <c r="H223" s="596"/>
      <c r="I223" s="152"/>
    </row>
    <row r="224" spans="1:10" ht="15.75" hidden="1" customHeight="1" x14ac:dyDescent="0.25">
      <c r="A224" s="155" t="s">
        <v>1068</v>
      </c>
      <c r="B224" s="142"/>
      <c r="C224" s="142"/>
      <c r="D224" s="142"/>
      <c r="E224" s="142"/>
      <c r="F224" s="142"/>
      <c r="G224" s="142"/>
      <c r="H224" s="142"/>
      <c r="I224" s="142"/>
    </row>
    <row r="225" spans="1:9" s="137" customFormat="1" ht="14.25" hidden="1" customHeight="1" x14ac:dyDescent="0.25">
      <c r="A225" s="154"/>
      <c r="B225" s="140"/>
      <c r="C225" s="140"/>
      <c r="D225" s="140"/>
      <c r="E225" s="140"/>
      <c r="F225" s="140"/>
      <c r="G225" s="140"/>
      <c r="H225" s="140"/>
      <c r="I225" s="140"/>
    </row>
    <row r="226" spans="1:9" s="137" customFormat="1" ht="14.25" hidden="1" customHeight="1" x14ac:dyDescent="0.25">
      <c r="A226" s="149" t="s">
        <v>1067</v>
      </c>
      <c r="B226" s="152"/>
      <c r="C226" s="152"/>
      <c r="D226" s="152"/>
      <c r="E226" s="152"/>
      <c r="F226" s="152"/>
      <c r="G226" s="152"/>
      <c r="H226" s="152"/>
      <c r="I226" s="152"/>
    </row>
    <row r="227" spans="1:9" s="137" customFormat="1" ht="14.25" hidden="1" customHeight="1" x14ac:dyDescent="0.25">
      <c r="A227" s="153"/>
      <c r="B227" s="152"/>
      <c r="C227" s="152"/>
      <c r="D227" s="152"/>
      <c r="E227" s="152"/>
      <c r="F227" s="152"/>
      <c r="G227" s="152"/>
      <c r="H227" s="152"/>
      <c r="I227" s="152"/>
    </row>
    <row r="228" spans="1:9" s="137" customFormat="1" ht="14.25" hidden="1" customHeight="1" x14ac:dyDescent="0.25">
      <c r="A228" s="599" t="s">
        <v>404</v>
      </c>
      <c r="B228" s="600"/>
      <c r="C228" s="600"/>
      <c r="D228" s="600"/>
      <c r="E228" s="600"/>
      <c r="F228" s="600"/>
      <c r="G228" s="138"/>
      <c r="H228" s="138"/>
      <c r="I228" s="138"/>
    </row>
    <row r="229" spans="1:9" s="137" customFormat="1" ht="14.25" hidden="1" customHeight="1" x14ac:dyDescent="0.25">
      <c r="A229" s="600"/>
      <c r="B229" s="600"/>
      <c r="C229" s="600"/>
      <c r="D229" s="600"/>
      <c r="E229" s="600"/>
      <c r="F229" s="600"/>
      <c r="G229" s="138"/>
      <c r="H229" s="138"/>
      <c r="I229" s="138"/>
    </row>
    <row r="230" spans="1:9" s="137" customFormat="1" ht="14.25" hidden="1" customHeight="1" x14ac:dyDescent="0.25">
      <c r="A230" s="600"/>
      <c r="B230" s="600"/>
      <c r="C230" s="600"/>
      <c r="D230" s="600"/>
      <c r="E230" s="600"/>
      <c r="F230" s="600"/>
      <c r="G230" s="138"/>
      <c r="H230" s="138"/>
      <c r="I230" s="138"/>
    </row>
    <row r="231" spans="1:9" s="137" customFormat="1" ht="14.25" hidden="1" customHeight="1" x14ac:dyDescent="0.25">
      <c r="A231" s="600"/>
      <c r="B231" s="600"/>
      <c r="C231" s="600"/>
      <c r="D231" s="600"/>
      <c r="E231" s="600"/>
      <c r="F231" s="600"/>
      <c r="G231" s="138"/>
      <c r="H231" s="138"/>
      <c r="I231" s="138"/>
    </row>
    <row r="232" spans="1:9" s="137" customFormat="1" ht="14.25" hidden="1" customHeight="1" x14ac:dyDescent="0.25">
      <c r="A232" s="2"/>
      <c r="B232" s="2"/>
      <c r="C232" s="2"/>
      <c r="D232" s="2"/>
      <c r="E232" s="2"/>
      <c r="F232" s="2"/>
      <c r="G232" s="138"/>
      <c r="H232" s="138"/>
      <c r="I232" s="138"/>
    </row>
    <row r="233" spans="1:9" s="137" customFormat="1" ht="14.25" hidden="1" customHeight="1" x14ac:dyDescent="0.25">
      <c r="A233" s="601" t="s">
        <v>880</v>
      </c>
      <c r="B233" s="600"/>
      <c r="C233" s="600"/>
      <c r="D233" s="600"/>
      <c r="E233" s="600"/>
      <c r="F233" s="600"/>
      <c r="G233" s="182"/>
      <c r="H233" s="182"/>
      <c r="I233" s="182"/>
    </row>
    <row r="234" spans="1:9" s="137" customFormat="1" ht="14.25" hidden="1" customHeight="1" x14ac:dyDescent="0.25">
      <c r="A234" s="600"/>
      <c r="B234" s="600"/>
      <c r="C234" s="600"/>
      <c r="D234" s="600"/>
      <c r="E234" s="600"/>
      <c r="F234" s="600"/>
      <c r="G234" s="182"/>
      <c r="H234" s="182"/>
      <c r="I234" s="182"/>
    </row>
    <row r="235" spans="1:9" s="137" customFormat="1" ht="14.25" hidden="1" customHeight="1" x14ac:dyDescent="0.25">
      <c r="A235" s="138"/>
      <c r="B235" s="138"/>
      <c r="C235" s="138"/>
      <c r="D235" s="138"/>
      <c r="E235" s="138"/>
      <c r="F235" s="138"/>
      <c r="G235" s="138"/>
      <c r="H235" s="138"/>
      <c r="I235" s="138"/>
    </row>
    <row r="236" spans="1:9" s="137" customFormat="1" ht="14.25" hidden="1" customHeight="1" x14ac:dyDescent="0.25">
      <c r="A236" s="599" t="s">
        <v>320</v>
      </c>
      <c r="B236" s="600"/>
      <c r="C236" s="600"/>
      <c r="D236" s="600"/>
      <c r="E236" s="600"/>
      <c r="F236" s="600"/>
      <c r="G236" s="138"/>
      <c r="H236" s="138"/>
      <c r="I236" s="138"/>
    </row>
    <row r="237" spans="1:9" s="137" customFormat="1" ht="14.25" hidden="1" customHeight="1" x14ac:dyDescent="0.25">
      <c r="A237" s="600"/>
      <c r="B237" s="600"/>
      <c r="C237" s="600"/>
      <c r="D237" s="600"/>
      <c r="E237" s="600"/>
      <c r="F237" s="600"/>
      <c r="G237" s="138"/>
      <c r="H237" s="138"/>
      <c r="I237" s="138"/>
    </row>
    <row r="238" spans="1:9" s="137" customFormat="1" ht="14.25" hidden="1" customHeight="1" x14ac:dyDescent="0.25">
      <c r="A238" s="600"/>
      <c r="B238" s="600"/>
      <c r="C238" s="600"/>
      <c r="D238" s="600"/>
      <c r="E238" s="600"/>
      <c r="F238" s="600"/>
      <c r="G238" s="138"/>
      <c r="H238" s="138"/>
      <c r="I238" s="138"/>
    </row>
    <row r="239" spans="1:9" s="137" customFormat="1" ht="14.25" customHeight="1" x14ac:dyDescent="0.25">
      <c r="A239" s="595" t="s">
        <v>218</v>
      </c>
      <c r="B239" s="596"/>
      <c r="C239" s="596"/>
      <c r="D239" s="596"/>
      <c r="E239" s="152"/>
      <c r="F239" s="595" t="s">
        <v>1070</v>
      </c>
      <c r="G239" s="596"/>
      <c r="H239" s="596"/>
      <c r="I239" s="152"/>
    </row>
    <row r="240" spans="1:9" s="137" customFormat="1" ht="14.25" customHeight="1" x14ac:dyDescent="0.25">
      <c r="A240" s="595" t="s">
        <v>844</v>
      </c>
      <c r="B240" s="596"/>
      <c r="C240" s="596"/>
      <c r="D240" s="596"/>
      <c r="E240" s="152"/>
      <c r="F240" s="595" t="s">
        <v>1069</v>
      </c>
      <c r="G240" s="596"/>
      <c r="H240" s="596"/>
      <c r="I240" s="152"/>
    </row>
    <row r="241" spans="1:9" s="137" customFormat="1" ht="14.25" customHeight="1" x14ac:dyDescent="0.25">
      <c r="A241" s="421"/>
      <c r="B241" s="156"/>
      <c r="C241" s="156"/>
      <c r="D241" s="156"/>
      <c r="E241" s="152"/>
      <c r="F241" s="421"/>
      <c r="G241" s="156"/>
      <c r="H241" s="156"/>
      <c r="I241" s="152"/>
    </row>
    <row r="242" spans="1:9" ht="15.75" customHeight="1" x14ac:dyDescent="0.25">
      <c r="A242" s="246" t="s">
        <v>1291</v>
      </c>
      <c r="B242" s="142"/>
      <c r="C242" s="142"/>
      <c r="D242" s="142"/>
      <c r="E242" s="142"/>
      <c r="F242" s="142"/>
      <c r="G242" s="142"/>
      <c r="H242" s="142"/>
      <c r="I242" s="142"/>
    </row>
    <row r="243" spans="1:9" ht="15.75" customHeight="1" x14ac:dyDescent="0.25">
      <c r="A243" s="246"/>
      <c r="B243" s="142"/>
      <c r="C243" s="142"/>
      <c r="D243" s="142"/>
      <c r="E243" s="142"/>
      <c r="F243" s="142"/>
      <c r="G243" s="142"/>
      <c r="H243" s="142"/>
      <c r="I243" s="142"/>
    </row>
    <row r="244" spans="1:9" ht="15.75" customHeight="1" x14ac:dyDescent="0.25">
      <c r="A244" s="594" t="str">
        <f>Header!A18&amp;" (the school) does not hold any cash generating assets.  Assets are considered cash generating where their primary objective is to generate a commercial return."</f>
        <v>Blind and Low Vision Education Network NZ (the school) does not hold any cash generating assets.  Assets are considered cash generating where their primary objective is to generate a commercial return.</v>
      </c>
      <c r="B244" s="594"/>
      <c r="C244" s="594"/>
      <c r="D244" s="594"/>
      <c r="E244" s="594"/>
      <c r="F244" s="594"/>
      <c r="G244" s="142"/>
      <c r="H244" s="142"/>
      <c r="I244" s="142"/>
    </row>
    <row r="245" spans="1:9" ht="15.75" customHeight="1" x14ac:dyDescent="0.25">
      <c r="A245" s="594"/>
      <c r="B245" s="594"/>
      <c r="C245" s="594"/>
      <c r="D245" s="594"/>
      <c r="E245" s="594"/>
      <c r="F245" s="594"/>
      <c r="G245" s="142"/>
      <c r="H245" s="142"/>
      <c r="I245" s="142"/>
    </row>
    <row r="246" spans="1:9" s="137" customFormat="1" ht="14.25" customHeight="1" x14ac:dyDescent="0.25">
      <c r="A246" s="147"/>
      <c r="B246" s="140"/>
      <c r="C246" s="140"/>
      <c r="D246" s="140"/>
      <c r="E246" s="140"/>
      <c r="F246" s="140"/>
      <c r="G246" s="140"/>
      <c r="H246" s="140"/>
      <c r="I246" s="140"/>
    </row>
    <row r="247" spans="1:9" s="137" customFormat="1" ht="14.25" customHeight="1" x14ac:dyDescent="0.25">
      <c r="A247" s="597" t="s">
        <v>1185</v>
      </c>
      <c r="B247" s="598"/>
      <c r="C247" s="140"/>
      <c r="D247" s="140"/>
      <c r="E247" s="140"/>
      <c r="F247" s="140"/>
      <c r="G247" s="140"/>
      <c r="H247" s="140"/>
      <c r="I247" s="140"/>
    </row>
    <row r="248" spans="1:9" s="137" customFormat="1" ht="14.25" customHeight="1" x14ac:dyDescent="0.25">
      <c r="A248" s="421"/>
      <c r="B248" s="156"/>
      <c r="C248" s="156"/>
      <c r="D248" s="156"/>
      <c r="E248" s="152"/>
      <c r="F248" s="421"/>
      <c r="G248" s="156"/>
      <c r="H248" s="156"/>
      <c r="I248" s="152"/>
    </row>
    <row r="249" spans="1:9" s="137" customFormat="1" ht="14.25" customHeight="1" x14ac:dyDescent="0.25">
      <c r="A249" s="594" t="s">
        <v>1186</v>
      </c>
      <c r="B249" s="594"/>
      <c r="C249" s="594"/>
      <c r="D249" s="594"/>
      <c r="E249" s="594"/>
      <c r="F249" s="594"/>
      <c r="G249" s="156"/>
      <c r="H249" s="156"/>
      <c r="I249" s="152"/>
    </row>
    <row r="250" spans="1:9" s="137" customFormat="1" ht="14.25" customHeight="1" x14ac:dyDescent="0.25">
      <c r="A250" s="594"/>
      <c r="B250" s="594"/>
      <c r="C250" s="594"/>
      <c r="D250" s="594"/>
      <c r="E250" s="594"/>
      <c r="F250" s="594"/>
      <c r="G250" s="156"/>
      <c r="H250" s="156"/>
      <c r="I250" s="152"/>
    </row>
    <row r="251" spans="1:9" s="137" customFormat="1" ht="14.25" customHeight="1" x14ac:dyDescent="0.25">
      <c r="A251" s="594"/>
      <c r="B251" s="594"/>
      <c r="C251" s="594"/>
      <c r="D251" s="594"/>
      <c r="E251" s="594"/>
      <c r="F251" s="594"/>
      <c r="G251" s="156"/>
      <c r="H251" s="156"/>
      <c r="I251" s="152"/>
    </row>
    <row r="252" spans="1:9" s="137" customFormat="1" ht="14.25" customHeight="1" x14ac:dyDescent="0.25">
      <c r="A252" s="594"/>
      <c r="B252" s="594"/>
      <c r="C252" s="594"/>
      <c r="D252" s="594"/>
      <c r="E252" s="594"/>
      <c r="F252" s="594"/>
      <c r="G252" s="156"/>
      <c r="H252" s="156"/>
      <c r="I252" s="152"/>
    </row>
    <row r="253" spans="1:9" s="137" customFormat="1" ht="14.25" customHeight="1" x14ac:dyDescent="0.25">
      <c r="A253" s="594"/>
      <c r="B253" s="594"/>
      <c r="C253" s="594"/>
      <c r="D253" s="594"/>
      <c r="E253" s="594"/>
      <c r="F253" s="594"/>
      <c r="G253" s="156"/>
      <c r="H253" s="156"/>
      <c r="I253" s="152"/>
    </row>
    <row r="254" spans="1:9" s="137" customFormat="1" ht="14.25" customHeight="1" x14ac:dyDescent="0.25">
      <c r="A254" s="422"/>
      <c r="B254" s="422"/>
      <c r="C254" s="422"/>
      <c r="D254" s="422"/>
      <c r="E254" s="422"/>
      <c r="F254" s="422"/>
      <c r="G254" s="156"/>
      <c r="H254" s="156"/>
      <c r="I254" s="152"/>
    </row>
    <row r="255" spans="1:9" s="137" customFormat="1" ht="14.25" customHeight="1" x14ac:dyDescent="0.25">
      <c r="A255" s="594" t="s">
        <v>1187</v>
      </c>
      <c r="B255" s="594"/>
      <c r="C255" s="594"/>
      <c r="D255" s="594"/>
      <c r="E255" s="594"/>
      <c r="F255" s="594"/>
      <c r="G255" s="156"/>
      <c r="H255" s="156"/>
      <c r="I255" s="152"/>
    </row>
    <row r="256" spans="1:9" s="137" customFormat="1" ht="14.25" customHeight="1" x14ac:dyDescent="0.25">
      <c r="A256" s="594"/>
      <c r="B256" s="594"/>
      <c r="C256" s="594"/>
      <c r="D256" s="594"/>
      <c r="E256" s="594"/>
      <c r="F256" s="594"/>
      <c r="G256" s="156"/>
      <c r="H256" s="156"/>
      <c r="I256" s="152"/>
    </row>
    <row r="257" spans="1:9" s="137" customFormat="1" ht="14.25" customHeight="1" x14ac:dyDescent="0.25">
      <c r="A257" s="594"/>
      <c r="B257" s="594"/>
      <c r="C257" s="594"/>
      <c r="D257" s="594"/>
      <c r="E257" s="594"/>
      <c r="F257" s="594"/>
      <c r="G257" s="156"/>
      <c r="H257" s="156"/>
      <c r="I257" s="152"/>
    </row>
    <row r="258" spans="1:9" s="137" customFormat="1" ht="14.25" customHeight="1" x14ac:dyDescent="0.25">
      <c r="A258" s="422"/>
      <c r="B258" s="422"/>
      <c r="C258" s="422"/>
      <c r="D258" s="422"/>
      <c r="E258" s="422"/>
      <c r="F258" s="422"/>
      <c r="G258" s="156"/>
      <c r="H258" s="156"/>
      <c r="I258" s="152"/>
    </row>
    <row r="259" spans="1:9" s="137" customFormat="1" ht="14.25" customHeight="1" x14ac:dyDescent="0.25">
      <c r="A259" s="594" t="s">
        <v>1188</v>
      </c>
      <c r="B259" s="594"/>
      <c r="C259" s="594"/>
      <c r="D259" s="594"/>
      <c r="E259" s="594"/>
      <c r="F259" s="594"/>
      <c r="G259" s="156"/>
      <c r="H259" s="156"/>
      <c r="I259" s="152"/>
    </row>
    <row r="260" spans="1:9" s="137" customFormat="1" ht="14.25" customHeight="1" x14ac:dyDescent="0.25">
      <c r="A260" s="594"/>
      <c r="B260" s="594"/>
      <c r="C260" s="594"/>
      <c r="D260" s="594"/>
      <c r="E260" s="594"/>
      <c r="F260" s="594"/>
      <c r="G260" s="156"/>
      <c r="H260" s="156"/>
      <c r="I260" s="152"/>
    </row>
    <row r="261" spans="1:9" s="137" customFormat="1" ht="14.25" customHeight="1" x14ac:dyDescent="0.25">
      <c r="A261" s="594"/>
      <c r="B261" s="594"/>
      <c r="C261" s="594"/>
      <c r="D261" s="594"/>
      <c r="E261" s="594"/>
      <c r="F261" s="594"/>
      <c r="G261" s="156"/>
      <c r="H261" s="156"/>
      <c r="I261" s="152"/>
    </row>
    <row r="262" spans="1:9" s="137" customFormat="1" ht="14.25" customHeight="1" x14ac:dyDescent="0.25">
      <c r="A262" s="422"/>
      <c r="B262" s="422"/>
      <c r="C262" s="422"/>
      <c r="D262" s="422"/>
      <c r="E262" s="422"/>
      <c r="F262" s="422"/>
      <c r="G262" s="156"/>
      <c r="H262" s="156"/>
      <c r="I262" s="152"/>
    </row>
    <row r="263" spans="1:9" s="137" customFormat="1" ht="14.25" customHeight="1" x14ac:dyDescent="0.25">
      <c r="A263" s="594" t="s">
        <v>1189</v>
      </c>
      <c r="B263" s="594"/>
      <c r="C263" s="594"/>
      <c r="D263" s="594"/>
      <c r="E263" s="594"/>
      <c r="F263" s="594"/>
      <c r="G263" s="156"/>
      <c r="H263" s="156"/>
      <c r="I263" s="152"/>
    </row>
    <row r="264" spans="1:9" s="137" customFormat="1" ht="14.25" customHeight="1" x14ac:dyDescent="0.25">
      <c r="A264" s="138"/>
      <c r="B264" s="138"/>
      <c r="C264" s="138"/>
      <c r="D264" s="138"/>
      <c r="E264" s="138"/>
      <c r="F264" s="138"/>
      <c r="G264" s="138"/>
      <c r="H264" s="138"/>
      <c r="I264" s="138"/>
    </row>
    <row r="265" spans="1:9" ht="15.75" customHeight="1" x14ac:dyDescent="0.25">
      <c r="A265" s="143" t="s">
        <v>1292</v>
      </c>
      <c r="B265" s="142"/>
      <c r="C265" s="142"/>
      <c r="D265" s="142"/>
      <c r="E265" s="142"/>
      <c r="F265" s="142"/>
      <c r="G265" s="142"/>
      <c r="H265" s="142"/>
      <c r="I265" s="142"/>
    </row>
    <row r="266" spans="1:9" s="137" customFormat="1" ht="14.25" customHeight="1" x14ac:dyDescent="0.25">
      <c r="A266" s="141"/>
      <c r="B266" s="140"/>
      <c r="C266" s="140"/>
      <c r="D266" s="140"/>
      <c r="E266" s="140"/>
      <c r="F266" s="140"/>
      <c r="G266" s="140"/>
      <c r="H266" s="140"/>
      <c r="I266" s="140"/>
    </row>
    <row r="267" spans="1:9" s="137" customFormat="1" ht="14.25" customHeight="1" x14ac:dyDescent="0.2">
      <c r="A267" s="594" t="s">
        <v>407</v>
      </c>
      <c r="B267" s="594"/>
      <c r="C267" s="594"/>
      <c r="D267" s="594"/>
      <c r="E267" s="594"/>
      <c r="F267" s="594"/>
      <c r="G267" s="139"/>
      <c r="H267" s="139"/>
      <c r="I267" s="139"/>
    </row>
    <row r="268" spans="1:9" s="137" customFormat="1" ht="14.25" customHeight="1" x14ac:dyDescent="0.2">
      <c r="A268" s="594"/>
      <c r="B268" s="594"/>
      <c r="C268" s="594"/>
      <c r="D268" s="594"/>
      <c r="E268" s="594"/>
      <c r="F268" s="594"/>
      <c r="G268" s="139"/>
      <c r="H268" s="139"/>
      <c r="I268" s="139"/>
    </row>
    <row r="269" spans="1:9" s="137" customFormat="1" ht="14.25" customHeight="1" x14ac:dyDescent="0.2">
      <c r="A269" s="594"/>
      <c r="B269" s="594"/>
      <c r="C269" s="594"/>
      <c r="D269" s="594"/>
      <c r="E269" s="594"/>
      <c r="F269" s="594"/>
      <c r="G269" s="139"/>
      <c r="H269" s="139"/>
      <c r="I269" s="139"/>
    </row>
    <row r="270" spans="1:9" s="137" customFormat="1" ht="14.25" customHeight="1" x14ac:dyDescent="0.25">
      <c r="A270" s="138"/>
      <c r="B270" s="138"/>
      <c r="C270" s="138"/>
      <c r="D270" s="138"/>
      <c r="E270" s="138"/>
      <c r="F270" s="138"/>
      <c r="G270" s="138"/>
      <c r="H270" s="138"/>
      <c r="I270" s="138"/>
    </row>
    <row r="271" spans="1:9" ht="15.75" customHeight="1" x14ac:dyDescent="0.25">
      <c r="A271" s="246" t="s">
        <v>1293</v>
      </c>
      <c r="B271" s="142"/>
      <c r="C271" s="142"/>
      <c r="D271" s="142"/>
      <c r="E271" s="142"/>
      <c r="F271" s="142"/>
      <c r="G271" s="142"/>
      <c r="H271" s="142"/>
      <c r="I271" s="142"/>
    </row>
    <row r="272" spans="1:9" s="137" customFormat="1" ht="14.25" customHeight="1" x14ac:dyDescent="0.25">
      <c r="A272" s="147"/>
      <c r="B272" s="140"/>
      <c r="C272" s="140"/>
      <c r="D272" s="140"/>
      <c r="E272" s="140"/>
      <c r="F272" s="140"/>
      <c r="G272" s="140"/>
      <c r="H272" s="140"/>
      <c r="I272" s="140"/>
    </row>
    <row r="273" spans="1:9" s="137" customFormat="1" ht="14.25" customHeight="1" x14ac:dyDescent="0.25">
      <c r="A273" s="423" t="s">
        <v>303</v>
      </c>
      <c r="B273" s="424"/>
      <c r="C273" s="147"/>
      <c r="D273" s="140"/>
      <c r="E273" s="140"/>
      <c r="F273" s="140"/>
      <c r="G273" s="140"/>
      <c r="H273" s="140"/>
      <c r="I273" s="140"/>
    </row>
    <row r="274" spans="1:9" s="137" customFormat="1" ht="14.25" customHeight="1" x14ac:dyDescent="0.25">
      <c r="A274" s="151"/>
      <c r="B274" s="150"/>
      <c r="C274" s="140"/>
      <c r="D274" s="140"/>
      <c r="E274" s="140"/>
      <c r="F274" s="140"/>
      <c r="G274" s="140"/>
      <c r="H274" s="140"/>
      <c r="I274" s="140"/>
    </row>
    <row r="275" spans="1:9" s="137" customFormat="1" ht="14.25" customHeight="1" x14ac:dyDescent="0.25">
      <c r="A275" s="599" t="s">
        <v>1190</v>
      </c>
      <c r="B275" s="600"/>
      <c r="C275" s="600"/>
      <c r="D275" s="600"/>
      <c r="E275" s="600"/>
      <c r="F275" s="600"/>
      <c r="G275" s="138"/>
      <c r="H275" s="138"/>
      <c r="I275" s="138"/>
    </row>
    <row r="276" spans="1:9" s="137" customFormat="1" ht="14.25" customHeight="1" x14ac:dyDescent="0.25">
      <c r="A276" s="600"/>
      <c r="B276" s="600"/>
      <c r="C276" s="600"/>
      <c r="D276" s="600"/>
      <c r="E276" s="600"/>
      <c r="F276" s="600"/>
      <c r="G276" s="138"/>
      <c r="H276" s="138"/>
      <c r="I276" s="138"/>
    </row>
    <row r="277" spans="1:9" s="137" customFormat="1" ht="14.25" customHeight="1" x14ac:dyDescent="0.25">
      <c r="A277" s="600"/>
      <c r="B277" s="600"/>
      <c r="C277" s="600"/>
      <c r="D277" s="600"/>
      <c r="E277" s="600"/>
      <c r="F277" s="600"/>
      <c r="G277" s="138"/>
      <c r="H277" s="138"/>
      <c r="I277" s="138"/>
    </row>
    <row r="278" spans="1:9" s="137" customFormat="1" ht="14.25" customHeight="1" x14ac:dyDescent="0.25">
      <c r="A278" s="600"/>
      <c r="B278" s="600"/>
      <c r="C278" s="600"/>
      <c r="D278" s="600"/>
      <c r="E278" s="600"/>
      <c r="F278" s="600"/>
      <c r="G278" s="138"/>
      <c r="H278" s="138"/>
      <c r="I278" s="138"/>
    </row>
    <row r="279" spans="1:9" s="137" customFormat="1" ht="14.25" customHeight="1" x14ac:dyDescent="0.25">
      <c r="A279" s="138"/>
      <c r="B279" s="138"/>
      <c r="C279" s="138"/>
      <c r="D279" s="138"/>
      <c r="E279" s="138"/>
      <c r="F279" s="138"/>
      <c r="G279" s="138"/>
      <c r="H279" s="138"/>
      <c r="I279" s="138"/>
    </row>
    <row r="280" spans="1:9" ht="15.75" customHeight="1" x14ac:dyDescent="0.25">
      <c r="A280" s="143" t="s">
        <v>1294</v>
      </c>
      <c r="B280" s="142"/>
      <c r="C280" s="142"/>
      <c r="D280" s="142"/>
      <c r="E280" s="142"/>
      <c r="F280" s="142"/>
      <c r="G280" s="142"/>
      <c r="H280" s="142"/>
      <c r="I280" s="142"/>
    </row>
    <row r="281" spans="1:9" s="137" customFormat="1" ht="14.25" customHeight="1" x14ac:dyDescent="0.25">
      <c r="A281" s="141"/>
      <c r="B281" s="140"/>
      <c r="C281" s="140"/>
      <c r="D281" s="140"/>
      <c r="E281" s="140"/>
      <c r="F281" s="140"/>
      <c r="G281" s="140"/>
      <c r="H281" s="140"/>
      <c r="I281" s="140"/>
    </row>
    <row r="282" spans="1:9" s="137" customFormat="1" ht="14.25" customHeight="1" x14ac:dyDescent="0.25">
      <c r="A282" s="599" t="s">
        <v>394</v>
      </c>
      <c r="B282" s="600"/>
      <c r="C282" s="600"/>
      <c r="D282" s="600"/>
      <c r="E282" s="600"/>
      <c r="F282" s="600"/>
      <c r="G282" s="138"/>
      <c r="H282" s="138"/>
      <c r="I282" s="138"/>
    </row>
    <row r="283" spans="1:9" s="137" customFormat="1" ht="14.25" customHeight="1" x14ac:dyDescent="0.25">
      <c r="A283" s="600"/>
      <c r="B283" s="600"/>
      <c r="C283" s="600"/>
      <c r="D283" s="600"/>
      <c r="E283" s="600"/>
      <c r="F283" s="600"/>
      <c r="G283" s="138"/>
      <c r="H283" s="138"/>
      <c r="I283" s="138"/>
    </row>
    <row r="284" spans="1:9" s="137" customFormat="1" ht="14.25" customHeight="1" x14ac:dyDescent="0.25">
      <c r="A284" s="600"/>
      <c r="B284" s="600"/>
      <c r="C284" s="600"/>
      <c r="D284" s="600"/>
      <c r="E284" s="600"/>
      <c r="F284" s="600"/>
      <c r="G284" s="138"/>
      <c r="H284" s="138"/>
      <c r="I284" s="138"/>
    </row>
    <row r="285" spans="1:9" s="137" customFormat="1" ht="14.25" customHeight="1" x14ac:dyDescent="0.25">
      <c r="A285" s="138"/>
      <c r="B285" s="138"/>
      <c r="C285" s="138"/>
      <c r="D285" s="138"/>
      <c r="E285" s="138"/>
      <c r="F285" s="138"/>
      <c r="G285" s="138"/>
      <c r="H285" s="138"/>
      <c r="I285" s="138"/>
    </row>
    <row r="286" spans="1:9" s="137" customFormat="1" ht="14.25" customHeight="1" x14ac:dyDescent="0.2">
      <c r="A286" s="594" t="s">
        <v>408</v>
      </c>
      <c r="B286" s="594"/>
      <c r="C286" s="594"/>
      <c r="D286" s="594"/>
      <c r="E286" s="594"/>
      <c r="F286" s="594"/>
      <c r="G286" s="144"/>
      <c r="H286" s="144"/>
      <c r="I286" s="144"/>
    </row>
    <row r="287" spans="1:9" s="137" customFormat="1" ht="14.25" customHeight="1" x14ac:dyDescent="0.2">
      <c r="A287" s="594"/>
      <c r="B287" s="594"/>
      <c r="C287" s="594"/>
      <c r="D287" s="594"/>
      <c r="E287" s="594"/>
      <c r="F287" s="594"/>
      <c r="G287" s="144"/>
      <c r="H287" s="144"/>
      <c r="I287" s="144"/>
    </row>
    <row r="288" spans="1:9" s="137" customFormat="1" ht="14.25" customHeight="1" x14ac:dyDescent="0.25">
      <c r="A288" s="138"/>
      <c r="B288" s="138"/>
      <c r="C288" s="138"/>
      <c r="D288" s="138"/>
      <c r="E288" s="138"/>
      <c r="F288" s="138"/>
      <c r="G288" s="138"/>
      <c r="H288" s="138"/>
      <c r="I288" s="138"/>
    </row>
    <row r="289" spans="1:10" ht="15.75" customHeight="1" x14ac:dyDescent="0.25">
      <c r="A289" s="246" t="s">
        <v>1295</v>
      </c>
      <c r="B289" s="142"/>
      <c r="C289" s="142"/>
      <c r="D289" s="142"/>
      <c r="E289" s="142"/>
      <c r="F289" s="142"/>
      <c r="G289" s="142"/>
      <c r="H289" s="142"/>
      <c r="I289" s="142"/>
    </row>
    <row r="290" spans="1:10" s="137" customFormat="1" ht="14.25" customHeight="1" x14ac:dyDescent="0.25">
      <c r="A290" s="147"/>
      <c r="B290" s="140"/>
      <c r="C290" s="140"/>
      <c r="D290" s="140"/>
      <c r="E290" s="140"/>
      <c r="F290" s="140"/>
      <c r="G290" s="140"/>
      <c r="H290" s="140"/>
      <c r="I290" s="140"/>
    </row>
    <row r="291" spans="1:10" s="137" customFormat="1" ht="14.25" customHeight="1" x14ac:dyDescent="0.2">
      <c r="A291" s="605" t="s">
        <v>409</v>
      </c>
      <c r="B291" s="605"/>
      <c r="C291" s="605"/>
      <c r="D291" s="605"/>
      <c r="E291" s="605"/>
      <c r="F291" s="605"/>
      <c r="G291" s="139"/>
      <c r="H291" s="139"/>
      <c r="I291" s="139"/>
    </row>
    <row r="292" spans="1:10" s="137" customFormat="1" ht="14.25" customHeight="1" x14ac:dyDescent="0.2">
      <c r="A292" s="605"/>
      <c r="B292" s="605"/>
      <c r="C292" s="605"/>
      <c r="D292" s="605"/>
      <c r="E292" s="605"/>
      <c r="F292" s="605"/>
      <c r="G292" s="139"/>
      <c r="H292" s="139"/>
      <c r="I292" s="139"/>
    </row>
    <row r="293" spans="1:10" s="137" customFormat="1" ht="14.25" customHeight="1" x14ac:dyDescent="0.25">
      <c r="A293" s="138"/>
      <c r="B293" s="138"/>
      <c r="C293" s="138"/>
      <c r="D293" s="138"/>
      <c r="E293" s="138"/>
      <c r="F293" s="138"/>
      <c r="G293" s="138"/>
      <c r="H293" s="138"/>
      <c r="I293" s="138"/>
    </row>
    <row r="294" spans="1:10" ht="15.75" customHeight="1" x14ac:dyDescent="0.25">
      <c r="A294" s="246" t="s">
        <v>1296</v>
      </c>
      <c r="B294" s="142"/>
      <c r="C294" s="142"/>
      <c r="D294" s="142"/>
      <c r="E294" s="142"/>
      <c r="F294" s="142"/>
      <c r="G294" s="142"/>
      <c r="H294" s="142"/>
      <c r="I294" s="142"/>
    </row>
    <row r="295" spans="1:10" s="137" customFormat="1" ht="14.25" customHeight="1" x14ac:dyDescent="0.25">
      <c r="A295" s="147"/>
      <c r="B295" s="140"/>
      <c r="C295" s="140"/>
      <c r="D295" s="140"/>
      <c r="E295" s="140"/>
      <c r="F295" s="140"/>
      <c r="G295" s="140"/>
      <c r="H295" s="140"/>
      <c r="I295" s="140"/>
    </row>
    <row r="296" spans="1:10" s="137" customFormat="1" ht="14.25" customHeight="1" x14ac:dyDescent="0.2">
      <c r="A296" s="605" t="s">
        <v>410</v>
      </c>
      <c r="B296" s="605"/>
      <c r="C296" s="605"/>
      <c r="D296" s="605"/>
      <c r="E296" s="605"/>
      <c r="F296" s="605"/>
      <c r="G296" s="139"/>
      <c r="H296" s="139"/>
      <c r="I296" s="139"/>
    </row>
    <row r="297" spans="1:10" s="137" customFormat="1" ht="14.25" customHeight="1" x14ac:dyDescent="0.2">
      <c r="A297" s="605"/>
      <c r="B297" s="605"/>
      <c r="C297" s="605"/>
      <c r="D297" s="605"/>
      <c r="E297" s="605"/>
      <c r="F297" s="605"/>
      <c r="G297" s="139"/>
      <c r="H297" s="139"/>
      <c r="I297" s="139"/>
    </row>
    <row r="298" spans="1:10" s="137" customFormat="1" ht="14.25" customHeight="1" x14ac:dyDescent="0.25">
      <c r="A298" s="138"/>
      <c r="B298" s="138"/>
      <c r="C298" s="138"/>
      <c r="D298" s="138"/>
      <c r="E298" s="138"/>
      <c r="F298" s="138"/>
      <c r="G298" s="138"/>
      <c r="H298" s="138"/>
      <c r="I298" s="138"/>
    </row>
    <row r="299" spans="1:10" ht="15.75" customHeight="1" x14ac:dyDescent="0.25">
      <c r="A299" s="608" t="s">
        <v>1297</v>
      </c>
      <c r="B299" s="609"/>
      <c r="C299" s="610"/>
      <c r="D299" s="610"/>
      <c r="E299" s="610"/>
      <c r="F299" s="142"/>
      <c r="G299" s="142"/>
      <c r="H299" s="142"/>
      <c r="I299" s="142"/>
    </row>
    <row r="300" spans="1:10" s="137" customFormat="1" ht="14.25" customHeight="1" x14ac:dyDescent="0.25">
      <c r="A300" s="147"/>
      <c r="B300" s="146"/>
      <c r="C300" s="145"/>
      <c r="D300" s="145"/>
      <c r="E300" s="145"/>
      <c r="F300" s="140"/>
      <c r="G300" s="140"/>
      <c r="H300" s="140"/>
      <c r="I300" s="140"/>
    </row>
    <row r="301" spans="1:10" s="137" customFormat="1" ht="14.25" customHeight="1" x14ac:dyDescent="0.25">
      <c r="A301" s="599" t="s">
        <v>411</v>
      </c>
      <c r="B301" s="600"/>
      <c r="C301" s="600"/>
      <c r="D301" s="600"/>
      <c r="E301" s="600"/>
      <c r="F301" s="600"/>
      <c r="G301" s="138"/>
      <c r="H301" s="138"/>
      <c r="I301" s="138"/>
    </row>
    <row r="302" spans="1:10" s="137" customFormat="1" ht="14.25" customHeight="1" x14ac:dyDescent="0.25">
      <c r="A302" s="600"/>
      <c r="B302" s="600"/>
      <c r="C302" s="600"/>
      <c r="D302" s="600"/>
      <c r="E302" s="600"/>
      <c r="F302" s="600"/>
      <c r="G302" s="138"/>
      <c r="H302" s="138"/>
      <c r="I302" s="138"/>
    </row>
    <row r="303" spans="1:10" s="137" customFormat="1" ht="14.25" customHeight="1" x14ac:dyDescent="0.25">
      <c r="A303" s="600"/>
      <c r="B303" s="600"/>
      <c r="C303" s="600"/>
      <c r="D303" s="600"/>
      <c r="E303" s="600"/>
      <c r="F303" s="600"/>
      <c r="G303" s="138"/>
      <c r="H303" s="138"/>
      <c r="I303" s="138"/>
    </row>
    <row r="304" spans="1:10" s="137" customFormat="1" ht="14.25" customHeight="1" x14ac:dyDescent="0.25">
      <c r="A304" s="600"/>
      <c r="B304" s="600"/>
      <c r="C304" s="600"/>
      <c r="D304" s="600"/>
      <c r="E304" s="600"/>
      <c r="F304" s="600"/>
      <c r="G304" s="138"/>
      <c r="H304" s="138"/>
      <c r="I304" s="138"/>
      <c r="J304" s="137" t="s">
        <v>321</v>
      </c>
    </row>
    <row r="305" spans="1:9" s="137" customFormat="1" ht="14.25" customHeight="1" x14ac:dyDescent="0.25">
      <c r="A305" s="138"/>
      <c r="B305" s="138"/>
      <c r="C305" s="138"/>
      <c r="D305" s="138"/>
      <c r="E305" s="138"/>
      <c r="F305" s="138"/>
      <c r="G305" s="138"/>
      <c r="H305" s="138"/>
      <c r="I305" s="138"/>
    </row>
    <row r="306" spans="1:9" s="137" customFormat="1" ht="14.25" customHeight="1" x14ac:dyDescent="0.2">
      <c r="A306" s="599" t="s">
        <v>412</v>
      </c>
      <c r="B306" s="600"/>
      <c r="C306" s="600"/>
      <c r="D306" s="600"/>
      <c r="E306" s="600"/>
      <c r="F306" s="600"/>
      <c r="G306" s="144"/>
      <c r="H306" s="144"/>
      <c r="I306" s="144"/>
    </row>
    <row r="307" spans="1:9" s="137" customFormat="1" ht="14.25" customHeight="1" x14ac:dyDescent="0.2">
      <c r="A307" s="600"/>
      <c r="B307" s="600"/>
      <c r="C307" s="600"/>
      <c r="D307" s="600"/>
      <c r="E307" s="600"/>
      <c r="F307" s="600"/>
      <c r="G307" s="144"/>
      <c r="H307" s="144"/>
      <c r="I307" s="144"/>
    </row>
    <row r="308" spans="1:9" s="137" customFormat="1" ht="14.25" customHeight="1" x14ac:dyDescent="0.2">
      <c r="A308" s="600"/>
      <c r="B308" s="600"/>
      <c r="C308" s="600"/>
      <c r="D308" s="600"/>
      <c r="E308" s="600"/>
      <c r="F308" s="600"/>
      <c r="G308" s="144"/>
      <c r="H308" s="144"/>
      <c r="I308" s="144"/>
    </row>
    <row r="309" spans="1:9" s="137" customFormat="1" ht="14.25" customHeight="1" x14ac:dyDescent="0.2">
      <c r="A309" s="600"/>
      <c r="B309" s="600"/>
      <c r="C309" s="600"/>
      <c r="D309" s="600"/>
      <c r="E309" s="600"/>
      <c r="F309" s="600"/>
      <c r="G309" s="144"/>
      <c r="H309" s="144"/>
      <c r="I309" s="144"/>
    </row>
    <row r="310" spans="1:9" s="137" customFormat="1" ht="14.25" customHeight="1" x14ac:dyDescent="0.25">
      <c r="A310" s="138"/>
      <c r="B310" s="138"/>
      <c r="C310" s="138"/>
      <c r="D310" s="138"/>
      <c r="E310" s="138"/>
      <c r="F310" s="138"/>
      <c r="G310" s="138"/>
      <c r="H310" s="138"/>
      <c r="I310" s="138"/>
    </row>
    <row r="311" spans="1:9" ht="15.75" customHeight="1" x14ac:dyDescent="0.25">
      <c r="A311" s="142" t="s">
        <v>1298</v>
      </c>
      <c r="B311" s="142"/>
      <c r="C311" s="142"/>
      <c r="D311" s="142"/>
      <c r="E311" s="142"/>
      <c r="F311" s="142"/>
      <c r="G311" s="142"/>
      <c r="H311" s="142"/>
      <c r="I311" s="142"/>
    </row>
    <row r="312" spans="1:9" s="137" customFormat="1" ht="14.25" customHeight="1" x14ac:dyDescent="0.25">
      <c r="A312" s="140"/>
      <c r="B312" s="140"/>
      <c r="C312" s="140"/>
      <c r="D312" s="140"/>
      <c r="E312" s="140"/>
      <c r="F312" s="140"/>
      <c r="G312" s="140"/>
      <c r="H312" s="140"/>
      <c r="I312" s="140"/>
    </row>
    <row r="313" spans="1:9" s="137" customFormat="1" ht="14.25" customHeight="1" x14ac:dyDescent="0.2">
      <c r="A313" s="594" t="s">
        <v>413</v>
      </c>
      <c r="B313" s="594"/>
      <c r="C313" s="594"/>
      <c r="D313" s="594"/>
      <c r="E313" s="594"/>
      <c r="F313" s="594"/>
      <c r="G313" s="139"/>
      <c r="H313" s="139"/>
      <c r="I313" s="139"/>
    </row>
    <row r="314" spans="1:9" s="137" customFormat="1" ht="14.25" customHeight="1" x14ac:dyDescent="0.2">
      <c r="A314" s="594"/>
      <c r="B314" s="594"/>
      <c r="C314" s="594"/>
      <c r="D314" s="594"/>
      <c r="E314" s="594"/>
      <c r="F314" s="594"/>
      <c r="G314" s="139"/>
      <c r="H314" s="139"/>
      <c r="I314" s="139"/>
    </row>
    <row r="315" spans="1:9" s="137" customFormat="1" ht="14.25" customHeight="1" x14ac:dyDescent="0.2">
      <c r="A315" s="594"/>
      <c r="B315" s="594"/>
      <c r="C315" s="594"/>
      <c r="D315" s="594"/>
      <c r="E315" s="594"/>
      <c r="F315" s="594"/>
      <c r="G315" s="139"/>
      <c r="H315" s="139"/>
      <c r="I315" s="139"/>
    </row>
    <row r="316" spans="1:9" s="137" customFormat="1" ht="14.25" customHeight="1" x14ac:dyDescent="0.2">
      <c r="A316" s="2"/>
      <c r="B316" s="2"/>
      <c r="C316" s="2"/>
      <c r="D316" s="2"/>
      <c r="E316" s="2"/>
      <c r="F316" s="2"/>
      <c r="G316" s="139"/>
      <c r="H316" s="139"/>
      <c r="I316" s="139"/>
    </row>
    <row r="317" spans="1:9" s="137" customFormat="1" ht="14.25" customHeight="1" x14ac:dyDescent="0.25">
      <c r="A317" s="599" t="s">
        <v>1060</v>
      </c>
      <c r="B317" s="600"/>
      <c r="C317" s="600"/>
      <c r="D317" s="600"/>
      <c r="E317" s="600"/>
      <c r="F317" s="600"/>
      <c r="G317" s="138"/>
      <c r="H317" s="138"/>
      <c r="I317" s="138"/>
    </row>
    <row r="318" spans="1:9" s="137" customFormat="1" ht="14.25" customHeight="1" x14ac:dyDescent="0.25">
      <c r="A318" s="600"/>
      <c r="B318" s="600"/>
      <c r="C318" s="600"/>
      <c r="D318" s="600"/>
      <c r="E318" s="600"/>
      <c r="F318" s="600"/>
      <c r="G318" s="138"/>
      <c r="H318" s="138"/>
      <c r="I318" s="138"/>
    </row>
    <row r="319" spans="1:9" s="137" customFormat="1" ht="14.25" customHeight="1" x14ac:dyDescent="0.25">
      <c r="A319" s="138"/>
      <c r="B319" s="138"/>
      <c r="C319" s="138"/>
      <c r="D319" s="138"/>
      <c r="E319" s="138"/>
      <c r="F319" s="138"/>
      <c r="G319" s="138"/>
      <c r="H319" s="138"/>
      <c r="I319" s="138"/>
    </row>
    <row r="320" spans="1:9" s="137" customFormat="1" ht="14.25" customHeight="1" x14ac:dyDescent="0.25">
      <c r="A320" s="594" t="s">
        <v>414</v>
      </c>
      <c r="B320" s="594"/>
      <c r="C320" s="594"/>
      <c r="D320" s="594"/>
      <c r="E320" s="594"/>
      <c r="F320" s="594"/>
      <c r="G320" s="138"/>
      <c r="H320" s="138"/>
      <c r="I320" s="138"/>
    </row>
    <row r="321" spans="1:9" s="137" customFormat="1" ht="14.25" customHeight="1" x14ac:dyDescent="0.25">
      <c r="A321" s="594"/>
      <c r="B321" s="594"/>
      <c r="C321" s="594"/>
      <c r="D321" s="594"/>
      <c r="E321" s="594"/>
      <c r="F321" s="594"/>
      <c r="G321" s="138"/>
      <c r="H321" s="138"/>
      <c r="I321" s="138"/>
    </row>
    <row r="322" spans="1:9" s="137" customFormat="1" ht="14.25" customHeight="1" x14ac:dyDescent="0.25">
      <c r="A322" s="594"/>
      <c r="B322" s="594"/>
      <c r="C322" s="594"/>
      <c r="D322" s="594"/>
      <c r="E322" s="594"/>
      <c r="F322" s="594"/>
      <c r="G322" s="138"/>
      <c r="H322" s="138"/>
      <c r="I322" s="138"/>
    </row>
    <row r="323" spans="1:9" s="137" customFormat="1" ht="14.25" customHeight="1" x14ac:dyDescent="0.2">
      <c r="A323" s="2"/>
      <c r="B323" s="2"/>
      <c r="C323" s="2"/>
      <c r="D323" s="2"/>
      <c r="E323" s="2"/>
      <c r="F323" s="2"/>
      <c r="G323" s="144"/>
      <c r="H323" s="144"/>
      <c r="I323" s="144"/>
    </row>
    <row r="324" spans="1:9" ht="15.75" hidden="1" customHeight="1" x14ac:dyDescent="0.25">
      <c r="A324" s="142" t="s">
        <v>1299</v>
      </c>
      <c r="B324" s="142"/>
      <c r="C324" s="142"/>
      <c r="D324" s="142"/>
      <c r="E324" s="142"/>
      <c r="F324" s="142"/>
      <c r="G324" s="142"/>
      <c r="H324" s="142"/>
      <c r="I324" s="142"/>
    </row>
    <row r="325" spans="1:9" s="137" customFormat="1" ht="14.25" hidden="1" customHeight="1" x14ac:dyDescent="0.25">
      <c r="A325" s="140"/>
      <c r="B325" s="140"/>
      <c r="C325" s="140"/>
      <c r="D325" s="140"/>
      <c r="E325" s="140"/>
      <c r="F325" s="140"/>
      <c r="G325" s="140"/>
      <c r="H325" s="140"/>
      <c r="I325" s="140"/>
    </row>
    <row r="326" spans="1:9" s="137" customFormat="1" ht="14.25" hidden="1" customHeight="1" x14ac:dyDescent="0.25">
      <c r="A326" s="599" t="s">
        <v>415</v>
      </c>
      <c r="B326" s="600"/>
      <c r="C326" s="600"/>
      <c r="D326" s="600"/>
      <c r="E326" s="600"/>
      <c r="F326" s="600"/>
      <c r="G326" s="138"/>
      <c r="H326" s="138"/>
      <c r="I326" s="138"/>
    </row>
    <row r="327" spans="1:9" s="137" customFormat="1" ht="14.25" hidden="1" customHeight="1" x14ac:dyDescent="0.25">
      <c r="A327" s="600"/>
      <c r="B327" s="600"/>
      <c r="C327" s="600"/>
      <c r="D327" s="600"/>
      <c r="E327" s="600"/>
      <c r="F327" s="600"/>
      <c r="G327" s="138"/>
      <c r="H327" s="138"/>
      <c r="I327" s="138"/>
    </row>
    <row r="328" spans="1:9" s="137" customFormat="1" ht="14.25" hidden="1" customHeight="1" x14ac:dyDescent="0.25">
      <c r="A328" s="600"/>
      <c r="B328" s="600"/>
      <c r="C328" s="600"/>
      <c r="D328" s="600"/>
      <c r="E328" s="600"/>
      <c r="F328" s="600"/>
      <c r="G328" s="138"/>
      <c r="H328" s="138"/>
      <c r="I328" s="138"/>
    </row>
    <row r="329" spans="1:9" s="137" customFormat="1" ht="14.25" customHeight="1" x14ac:dyDescent="0.25">
      <c r="A329" s="138"/>
      <c r="B329" s="138"/>
      <c r="C329" s="138"/>
      <c r="D329" s="138"/>
      <c r="E329" s="138"/>
      <c r="F329" s="138"/>
      <c r="G329" s="138"/>
      <c r="H329" s="138"/>
      <c r="I329" s="138"/>
    </row>
    <row r="330" spans="1:9" ht="15.75" customHeight="1" x14ac:dyDescent="0.25">
      <c r="A330" s="142" t="s">
        <v>1347</v>
      </c>
      <c r="B330" s="142"/>
      <c r="C330" s="142"/>
      <c r="D330" s="142"/>
      <c r="E330" s="142"/>
      <c r="F330" s="142"/>
      <c r="G330" s="142"/>
      <c r="H330" s="142"/>
      <c r="I330" s="142"/>
    </row>
    <row r="331" spans="1:9" s="137" customFormat="1" ht="14.25" customHeight="1" x14ac:dyDescent="0.25">
      <c r="A331" s="140"/>
      <c r="B331" s="140"/>
      <c r="C331" s="140"/>
      <c r="D331" s="140"/>
      <c r="E331" s="140"/>
      <c r="F331" s="140"/>
      <c r="G331" s="140"/>
      <c r="H331" s="140"/>
      <c r="I331" s="140"/>
    </row>
    <row r="332" spans="1:9" s="137" customFormat="1" ht="14.25" customHeight="1" x14ac:dyDescent="0.25">
      <c r="A332" s="599" t="s">
        <v>1059</v>
      </c>
      <c r="B332" s="600"/>
      <c r="C332" s="600"/>
      <c r="D332" s="600"/>
      <c r="E332" s="600"/>
      <c r="F332" s="600"/>
      <c r="G332" s="138"/>
      <c r="H332" s="138"/>
      <c r="I332" s="138"/>
    </row>
    <row r="333" spans="1:9" s="137" customFormat="1" ht="14.25" customHeight="1" x14ac:dyDescent="0.25">
      <c r="A333" s="600"/>
      <c r="B333" s="600"/>
      <c r="C333" s="600"/>
      <c r="D333" s="600"/>
      <c r="E333" s="600"/>
      <c r="F333" s="600"/>
      <c r="G333" s="138"/>
      <c r="H333" s="138"/>
      <c r="I333" s="138"/>
    </row>
    <row r="334" spans="1:9" s="137" customFormat="1" ht="14.25" customHeight="1" x14ac:dyDescent="0.25">
      <c r="A334" s="138"/>
      <c r="B334" s="138"/>
      <c r="C334" s="138"/>
      <c r="D334" s="138"/>
      <c r="E334" s="138"/>
      <c r="F334" s="138"/>
      <c r="G334" s="138"/>
      <c r="H334" s="138"/>
      <c r="I334" s="138"/>
    </row>
    <row r="335" spans="1:9" s="137" customFormat="1" ht="14.25" customHeight="1" x14ac:dyDescent="0.25">
      <c r="A335" s="599" t="s">
        <v>1360</v>
      </c>
      <c r="B335" s="600"/>
      <c r="C335" s="600"/>
      <c r="D335" s="600"/>
      <c r="E335" s="600"/>
      <c r="F335" s="600"/>
      <c r="G335" s="138"/>
      <c r="H335" s="138"/>
      <c r="I335" s="138"/>
    </row>
    <row r="336" spans="1:9" s="137" customFormat="1" ht="22.5" customHeight="1" x14ac:dyDescent="0.25">
      <c r="A336" s="600"/>
      <c r="B336" s="600"/>
      <c r="C336" s="600"/>
      <c r="D336" s="600"/>
      <c r="E336" s="600"/>
      <c r="F336" s="600"/>
      <c r="G336" s="138"/>
      <c r="H336" s="138"/>
      <c r="I336" s="138"/>
    </row>
    <row r="337" spans="1:9" s="137" customFormat="1" ht="12" customHeight="1" x14ac:dyDescent="0.25">
      <c r="A337" s="559"/>
      <c r="B337" s="559"/>
      <c r="C337" s="559"/>
      <c r="D337" s="559"/>
      <c r="E337" s="559"/>
      <c r="F337" s="559"/>
      <c r="G337" s="138"/>
      <c r="H337" s="138"/>
      <c r="I337" s="138"/>
    </row>
    <row r="338" spans="1:9" s="137" customFormat="1" ht="21" customHeight="1" x14ac:dyDescent="0.25">
      <c r="A338" s="599" t="s">
        <v>1361</v>
      </c>
      <c r="B338" s="600"/>
      <c r="C338" s="600"/>
      <c r="D338" s="600"/>
      <c r="E338" s="600"/>
      <c r="F338" s="600"/>
      <c r="G338" s="138"/>
      <c r="H338" s="138"/>
      <c r="I338" s="138"/>
    </row>
    <row r="339" spans="1:9" s="137" customFormat="1" ht="14.25" customHeight="1" x14ac:dyDescent="0.25">
      <c r="A339" s="138"/>
      <c r="B339" s="138"/>
      <c r="C339" s="138"/>
      <c r="D339" s="138"/>
      <c r="E339" s="138"/>
      <c r="F339" s="138"/>
      <c r="G339" s="138"/>
      <c r="H339" s="138"/>
      <c r="I339" s="138"/>
    </row>
    <row r="340" spans="1:9" ht="15.75" customHeight="1" x14ac:dyDescent="0.25">
      <c r="A340" s="143" t="s">
        <v>1348</v>
      </c>
      <c r="B340" s="142"/>
      <c r="C340" s="142"/>
      <c r="D340" s="142"/>
      <c r="E340" s="142"/>
      <c r="F340" s="142"/>
      <c r="G340" s="142"/>
      <c r="H340" s="142"/>
      <c r="I340" s="142"/>
    </row>
    <row r="341" spans="1:9" s="137" customFormat="1" ht="14.25" customHeight="1" x14ac:dyDescent="0.25">
      <c r="A341" s="141"/>
      <c r="B341" s="140"/>
      <c r="C341" s="140"/>
      <c r="D341" s="140"/>
      <c r="E341" s="140"/>
      <c r="F341" s="140"/>
      <c r="G341" s="140"/>
      <c r="H341" s="140"/>
      <c r="I341" s="140"/>
    </row>
    <row r="342" spans="1:9" s="6" customFormat="1" ht="14.25" customHeight="1" x14ac:dyDescent="0.2">
      <c r="A342" s="611" t="s">
        <v>416</v>
      </c>
      <c r="B342" s="600"/>
      <c r="C342" s="600"/>
      <c r="D342" s="600"/>
      <c r="E342" s="600"/>
      <c r="F342" s="600"/>
      <c r="G342" s="139"/>
      <c r="H342" s="139"/>
      <c r="I342" s="139"/>
    </row>
    <row r="343" spans="1:9" s="137" customFormat="1" ht="14.25" customHeight="1" x14ac:dyDescent="0.25">
      <c r="A343" s="600"/>
      <c r="B343" s="600"/>
      <c r="C343" s="600"/>
      <c r="D343" s="600"/>
      <c r="E343" s="600"/>
      <c r="F343" s="600"/>
      <c r="G343" s="138"/>
      <c r="H343" s="138"/>
      <c r="I343" s="138"/>
    </row>
    <row r="345" spans="1:9" ht="12.75" customHeight="1" x14ac:dyDescent="0.25">
      <c r="A345" s="143" t="s">
        <v>1349</v>
      </c>
    </row>
    <row r="347" spans="1:9" ht="12.75" customHeight="1" x14ac:dyDescent="0.2">
      <c r="A347" s="607" t="s">
        <v>1191</v>
      </c>
      <c r="B347" s="607"/>
      <c r="C347" s="607"/>
      <c r="D347" s="607"/>
      <c r="E347" s="607"/>
      <c r="F347" s="607"/>
    </row>
    <row r="348" spans="1:9" ht="12.75" customHeight="1" x14ac:dyDescent="0.2">
      <c r="A348" s="607"/>
      <c r="B348" s="607"/>
      <c r="C348" s="607"/>
      <c r="D348" s="607"/>
      <c r="E348" s="607"/>
      <c r="F348" s="607"/>
    </row>
    <row r="349" spans="1:9" ht="15" customHeight="1" x14ac:dyDescent="0.2">
      <c r="A349" s="607"/>
      <c r="B349" s="607"/>
      <c r="C349" s="607"/>
      <c r="D349" s="607"/>
      <c r="E349" s="607"/>
      <c r="F349" s="607"/>
    </row>
  </sheetData>
  <mergeCells count="79">
    <mergeCell ref="A347:F349"/>
    <mergeCell ref="A282:F284"/>
    <mergeCell ref="A299:E299"/>
    <mergeCell ref="A296:F297"/>
    <mergeCell ref="A286:F287"/>
    <mergeCell ref="A332:F333"/>
    <mergeCell ref="A326:F328"/>
    <mergeCell ref="A320:F322"/>
    <mergeCell ref="A317:F318"/>
    <mergeCell ref="A335:F336"/>
    <mergeCell ref="A342:F343"/>
    <mergeCell ref="A291:F292"/>
    <mergeCell ref="A306:F309"/>
    <mergeCell ref="A301:F304"/>
    <mergeCell ref="A313:F315"/>
    <mergeCell ref="A338:F338"/>
    <mergeCell ref="A275:F278"/>
    <mergeCell ref="A263:F263"/>
    <mergeCell ref="A255:F257"/>
    <mergeCell ref="F220:H220"/>
    <mergeCell ref="A149:F151"/>
    <mergeCell ref="A267:F269"/>
    <mergeCell ref="F239:H239"/>
    <mergeCell ref="A259:F261"/>
    <mergeCell ref="F222:H222"/>
    <mergeCell ref="A222:D222"/>
    <mergeCell ref="A211:F213"/>
    <mergeCell ref="A218:D218"/>
    <mergeCell ref="F219:H219"/>
    <mergeCell ref="F217:H217"/>
    <mergeCell ref="A236:F238"/>
    <mergeCell ref="F223:H223"/>
    <mergeCell ref="A98:F100"/>
    <mergeCell ref="A155:F160"/>
    <mergeCell ref="A138:F139"/>
    <mergeCell ref="A125:F129"/>
    <mergeCell ref="A188:F191"/>
    <mergeCell ref="A177:F178"/>
    <mergeCell ref="A143:F145"/>
    <mergeCell ref="A164:F166"/>
    <mergeCell ref="A133:F134"/>
    <mergeCell ref="A168:F169"/>
    <mergeCell ref="A174:F175"/>
    <mergeCell ref="A182:F183"/>
    <mergeCell ref="A102:F105"/>
    <mergeCell ref="A59:F64"/>
    <mergeCell ref="A67:F71"/>
    <mergeCell ref="A217:D217"/>
    <mergeCell ref="A202:F207"/>
    <mergeCell ref="A196:F198"/>
    <mergeCell ref="A171:F172"/>
    <mergeCell ref="A193:F194"/>
    <mergeCell ref="A77:F80"/>
    <mergeCell ref="A92:F93"/>
    <mergeCell ref="A74:F74"/>
    <mergeCell ref="A120:F121"/>
    <mergeCell ref="A115:F116"/>
    <mergeCell ref="A109:F111"/>
    <mergeCell ref="A185:F186"/>
    <mergeCell ref="A83:F85"/>
    <mergeCell ref="A95:F96"/>
    <mergeCell ref="A10:F12"/>
    <mergeCell ref="A18:F19"/>
    <mergeCell ref="A28:F35"/>
    <mergeCell ref="A55:F55"/>
    <mergeCell ref="A39:F42"/>
    <mergeCell ref="A23:F24"/>
    <mergeCell ref="A46:F47"/>
    <mergeCell ref="A51:F51"/>
    <mergeCell ref="F218:H218"/>
    <mergeCell ref="A249:F253"/>
    <mergeCell ref="A240:D240"/>
    <mergeCell ref="A239:D239"/>
    <mergeCell ref="F240:H240"/>
    <mergeCell ref="A247:B247"/>
    <mergeCell ref="A244:F245"/>
    <mergeCell ref="A223:D223"/>
    <mergeCell ref="A228:F231"/>
    <mergeCell ref="A233:F234"/>
  </mergeCells>
  <phoneticPr fontId="65" type="noConversion"/>
  <pageMargins left="0.70866141732283472" right="0.70866141732283472" top="0.74803149606299213" bottom="0.74803149606299213" header="0.31496062992125984" footer="0.31496062992125984"/>
  <pageSetup paperSize="9" scale="54" orientation="portrait" r:id="rId1"/>
  <headerFooter>
    <oddFooter>&amp;C&amp;P</oddFooter>
  </headerFooter>
  <rowBreaks count="5" manualBreakCount="5">
    <brk id="87" max="5" man="1"/>
    <brk id="140" max="5" man="1"/>
    <brk id="179" max="5" man="1"/>
    <brk id="241" max="5" man="1"/>
    <brk id="298"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11</vt:i4>
      </vt:variant>
    </vt:vector>
  </HeadingPairs>
  <TitlesOfParts>
    <vt:vector size="25" baseType="lpstr">
      <vt:lpstr>Data</vt:lpstr>
      <vt:lpstr>Header</vt:lpstr>
      <vt:lpstr>Index Page</vt:lpstr>
      <vt:lpstr>Statement of Responsibility</vt:lpstr>
      <vt:lpstr>Comprehensive Income</vt:lpstr>
      <vt:lpstr>Equity</vt:lpstr>
      <vt:lpstr>Financial Position</vt:lpstr>
      <vt:lpstr>Cashflow Statement</vt:lpstr>
      <vt:lpstr>Notes 1</vt:lpstr>
      <vt:lpstr>Notes</vt:lpstr>
      <vt:lpstr>Cashflow workpaper</vt:lpstr>
      <vt:lpstr>Codes allocation</vt:lpstr>
      <vt:lpstr>Payroll recon</vt:lpstr>
      <vt:lpstr>ESLData</vt:lpstr>
      <vt:lpstr>'Cashflow Statement'!Print_Area</vt:lpstr>
      <vt:lpstr>'Cashflow workpaper'!Print_Area</vt:lpstr>
      <vt:lpstr>'Comprehensive Income'!Print_Area</vt:lpstr>
      <vt:lpstr>Equity!Print_Area</vt:lpstr>
      <vt:lpstr>'Financial Position'!Print_Area</vt:lpstr>
      <vt:lpstr>Header!Print_Area</vt:lpstr>
      <vt:lpstr>'Index Page'!Print_Area</vt:lpstr>
      <vt:lpstr>Notes!Print_Area</vt:lpstr>
      <vt:lpstr>'Notes 1'!Print_Area</vt:lpstr>
      <vt:lpstr>'Statement of Responsibility'!Print_Area</vt:lpstr>
      <vt:lpstr>'Notes 1'!Print_Titles</vt:lpstr>
    </vt:vector>
  </TitlesOfParts>
  <Manager>ScottM</Manager>
  <Company>Ministry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statements - Differential</dc:title>
  <dc:subject>Kiwi Park</dc:subject>
  <dc:creator>Dennis Cribb</dc:creator>
  <cp:keywords>Finance</cp:keywords>
  <cp:lastModifiedBy>Janny Cooke</cp:lastModifiedBy>
  <cp:lastPrinted>2018-05-16T03:52:10Z</cp:lastPrinted>
  <dcterms:created xsi:type="dcterms:W3CDTF">2002-09-06T23:35:01Z</dcterms:created>
  <dcterms:modified xsi:type="dcterms:W3CDTF">2018-06-14T01:41:39Z</dcterms:modified>
  <cp:category>Finance</cp:category>
</cp:coreProperties>
</file>